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drawings/drawing4.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PANKAJ ROOT\Business Projects\Etsy Projects\Digital Planners\Advanced Project  Planners\Lead Magnet\"/>
    </mc:Choice>
  </mc:AlternateContent>
  <xr:revisionPtr revIDLastSave="0" documentId="13_ncr:1_{F42D0493-C5E1-4903-8C0F-A92EDA1A41A1}" xr6:coauthVersionLast="47" xr6:coauthVersionMax="47" xr10:uidLastSave="{00000000-0000-0000-0000-000000000000}"/>
  <bookViews>
    <workbookView xWindow="-6210" yWindow="-21720" windowWidth="38640" windowHeight="21120" activeTab="1" xr2:uid="{00000000-000D-0000-FFFF-FFFF00000000}"/>
  </bookViews>
  <sheets>
    <sheet name="01_START_HERE" sheetId="1" r:id="rId1"/>
    <sheet name="02_PROJECT_INPUT" sheetId="2" r:id="rId2"/>
    <sheet name="03_HEALTH_CHECK" sheetId="3" r:id="rId3"/>
    <sheet name="04_RAID_LITE" sheetId="4" r:id="rId4"/>
    <sheet name="05_MILESTONES" sheetId="5" r:id="rId5"/>
    <sheet name="06_DASHBOARD" sheetId="6" r:id="rId6"/>
    <sheet name="07_WEEKLY_SNAPSHOT" sheetId="7" r:id="rId7"/>
    <sheet name="08_GANTT" sheetId="8" r:id="rId8"/>
  </sheets>
  <definedNames>
    <definedName name="_xlnm.Print_Area" localSheetId="0">'01_START_HERE'!$A$1:$I$46</definedName>
    <definedName name="_xlnm.Print_Area" localSheetId="1">'02_PROJECT_INPUT'!$A$1:$E$29</definedName>
    <definedName name="_xlnm.Print_Area" localSheetId="2">'03_HEALTH_CHECK'!$A$1:$J$29</definedName>
    <definedName name="_xlnm.Print_Area" localSheetId="3">'04_RAID_LITE'!$A$1:$N$31</definedName>
    <definedName name="_xlnm.Print_Area" localSheetId="4">'05_MILESTONES'!$A$1:$K$30</definedName>
    <definedName name="_xlnm.Print_Area" localSheetId="5">'06_DASHBOARD'!$A$1:$N$59</definedName>
    <definedName name="_xlnm.Print_Area" localSheetId="6">'07_WEEKLY_SNAPSHOT'!$A$1:$I$32</definedName>
    <definedName name="_xlnm.Print_Area" localSheetId="7">'08_GANTT'!$A$1:$BH$24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21" i="8" l="1"/>
  <c r="BF21" i="8"/>
  <c r="BE21" i="8"/>
  <c r="BD21" i="8"/>
  <c r="BC21" i="8"/>
  <c r="BB21" i="8"/>
  <c r="BA21" i="8"/>
  <c r="AZ21" i="8"/>
  <c r="AY21" i="8"/>
  <c r="AX21" i="8"/>
  <c r="AW21" i="8"/>
  <c r="AV21" i="8"/>
  <c r="AU21" i="8"/>
  <c r="AT21" i="8"/>
  <c r="AS21" i="8"/>
  <c r="AR21" i="8"/>
  <c r="AQ21" i="8"/>
  <c r="AP21" i="8"/>
  <c r="AO21" i="8"/>
  <c r="AN21" i="8"/>
  <c r="AM21" i="8"/>
  <c r="AL21" i="8"/>
  <c r="AK21" i="8"/>
  <c r="AJ21" i="8"/>
  <c r="AI21" i="8"/>
  <c r="AH21" i="8"/>
  <c r="AG21" i="8"/>
  <c r="AF21" i="8"/>
  <c r="AE21" i="8"/>
  <c r="AD21" i="8"/>
  <c r="AC21" i="8"/>
  <c r="AB21" i="8"/>
  <c r="AA21" i="8"/>
  <c r="Z21" i="8"/>
  <c r="Y21" i="8"/>
  <c r="X21" i="8"/>
  <c r="W21" i="8"/>
  <c r="V21" i="8"/>
  <c r="U21" i="8"/>
  <c r="T21" i="8"/>
  <c r="S21" i="8"/>
  <c r="R21" i="8"/>
  <c r="Q21" i="8"/>
  <c r="P21" i="8"/>
  <c r="O21" i="8"/>
  <c r="N21" i="8"/>
  <c r="M21" i="8"/>
  <c r="L21" i="8"/>
  <c r="K21" i="8"/>
  <c r="J21" i="8"/>
  <c r="I21" i="8"/>
  <c r="H21" i="8"/>
  <c r="G21" i="8"/>
  <c r="BG20" i="8"/>
  <c r="BF20" i="8"/>
  <c r="BE20" i="8"/>
  <c r="BD20" i="8"/>
  <c r="BC20" i="8"/>
  <c r="BB20" i="8"/>
  <c r="BA20" i="8"/>
  <c r="AZ20" i="8"/>
  <c r="AY20" i="8"/>
  <c r="AX20" i="8"/>
  <c r="AW20" i="8"/>
  <c r="AV20" i="8"/>
  <c r="AU20" i="8"/>
  <c r="AT20" i="8"/>
  <c r="AS20" i="8"/>
  <c r="AR20" i="8"/>
  <c r="AQ20" i="8"/>
  <c r="AP20" i="8"/>
  <c r="AO20" i="8"/>
  <c r="AN20" i="8"/>
  <c r="AM20" i="8"/>
  <c r="AL20" i="8"/>
  <c r="AK20" i="8"/>
  <c r="AJ20" i="8"/>
  <c r="AI20" i="8"/>
  <c r="AH20" i="8"/>
  <c r="AG20" i="8"/>
  <c r="AF20" i="8"/>
  <c r="AE20" i="8"/>
  <c r="AD20" i="8"/>
  <c r="AC20" i="8"/>
  <c r="AB20" i="8"/>
  <c r="AA20" i="8"/>
  <c r="Z20" i="8"/>
  <c r="Y20" i="8"/>
  <c r="X20" i="8"/>
  <c r="W20" i="8"/>
  <c r="V20" i="8"/>
  <c r="U20" i="8"/>
  <c r="T20" i="8"/>
  <c r="S20" i="8"/>
  <c r="R20" i="8"/>
  <c r="Q20" i="8"/>
  <c r="P20" i="8"/>
  <c r="O20" i="8"/>
  <c r="N20" i="8"/>
  <c r="M20" i="8"/>
  <c r="L20" i="8"/>
  <c r="K20" i="8"/>
  <c r="J20" i="8"/>
  <c r="I20" i="8"/>
  <c r="H20" i="8"/>
  <c r="G20" i="8"/>
  <c r="BG19" i="8"/>
  <c r="BF19" i="8"/>
  <c r="BE19" i="8"/>
  <c r="BD19" i="8"/>
  <c r="BC19" i="8"/>
  <c r="BB19" i="8"/>
  <c r="BA19" i="8"/>
  <c r="AZ19" i="8"/>
  <c r="AY19" i="8"/>
  <c r="AX19" i="8"/>
  <c r="AW19" i="8"/>
  <c r="AV19" i="8"/>
  <c r="AU19" i="8"/>
  <c r="AT19" i="8"/>
  <c r="AS19" i="8"/>
  <c r="AR19" i="8"/>
  <c r="AQ19" i="8"/>
  <c r="AP19" i="8"/>
  <c r="AO19" i="8"/>
  <c r="AN19" i="8"/>
  <c r="AM19" i="8"/>
  <c r="AL19" i="8"/>
  <c r="AK19" i="8"/>
  <c r="AJ19" i="8"/>
  <c r="AI19" i="8"/>
  <c r="AH19" i="8"/>
  <c r="AG19" i="8"/>
  <c r="AF19" i="8"/>
  <c r="AE19" i="8"/>
  <c r="AD19" i="8"/>
  <c r="AC19" i="8"/>
  <c r="AB19" i="8"/>
  <c r="AA19" i="8"/>
  <c r="Z19" i="8"/>
  <c r="Y19" i="8"/>
  <c r="X19" i="8"/>
  <c r="W19" i="8"/>
  <c r="V19" i="8"/>
  <c r="U19" i="8"/>
  <c r="T19" i="8"/>
  <c r="S19" i="8"/>
  <c r="R19" i="8"/>
  <c r="Q19" i="8"/>
  <c r="P19" i="8"/>
  <c r="O19" i="8"/>
  <c r="N19" i="8"/>
  <c r="M19" i="8"/>
  <c r="L19" i="8"/>
  <c r="K19" i="8"/>
  <c r="J19" i="8"/>
  <c r="I19" i="8"/>
  <c r="H19" i="8"/>
  <c r="G19" i="8"/>
  <c r="BG18" i="8"/>
  <c r="BF18" i="8"/>
  <c r="BE18" i="8"/>
  <c r="BD18" i="8"/>
  <c r="BC18" i="8"/>
  <c r="BB18" i="8"/>
  <c r="BA18" i="8"/>
  <c r="AZ18" i="8"/>
  <c r="AY18" i="8"/>
  <c r="AX18" i="8"/>
  <c r="AW18" i="8"/>
  <c r="AV18" i="8"/>
  <c r="AU18" i="8"/>
  <c r="AT18" i="8"/>
  <c r="AS18" i="8"/>
  <c r="AR18" i="8"/>
  <c r="AQ18" i="8"/>
  <c r="AP18" i="8"/>
  <c r="AO18" i="8"/>
  <c r="AN18" i="8"/>
  <c r="AM18" i="8"/>
  <c r="AL18" i="8"/>
  <c r="AK18" i="8"/>
  <c r="AJ18" i="8"/>
  <c r="AI18" i="8"/>
  <c r="AH18" i="8"/>
  <c r="AG18" i="8"/>
  <c r="AF18" i="8"/>
  <c r="AE18" i="8"/>
  <c r="AD18" i="8"/>
  <c r="AC18" i="8"/>
  <c r="AB18" i="8"/>
  <c r="AA18" i="8"/>
  <c r="Z18" i="8"/>
  <c r="Y18" i="8"/>
  <c r="X18" i="8"/>
  <c r="W18" i="8"/>
  <c r="V18" i="8"/>
  <c r="U18" i="8"/>
  <c r="T18" i="8"/>
  <c r="S18" i="8"/>
  <c r="R18" i="8"/>
  <c r="Q18" i="8"/>
  <c r="P18" i="8"/>
  <c r="O18" i="8"/>
  <c r="N18" i="8"/>
  <c r="M18" i="8"/>
  <c r="L18" i="8"/>
  <c r="K18" i="8"/>
  <c r="J18" i="8"/>
  <c r="I18" i="8"/>
  <c r="H18" i="8"/>
  <c r="G18" i="8"/>
  <c r="BG17" i="8"/>
  <c r="BF17" i="8"/>
  <c r="BE17" i="8"/>
  <c r="BD17" i="8"/>
  <c r="BC17" i="8"/>
  <c r="BB17" i="8"/>
  <c r="BA17" i="8"/>
  <c r="AZ17" i="8"/>
  <c r="AY17" i="8"/>
  <c r="AX17" i="8"/>
  <c r="AW17" i="8"/>
  <c r="AV17" i="8"/>
  <c r="AU17" i="8"/>
  <c r="AT17" i="8"/>
  <c r="AS17" i="8"/>
  <c r="AR17" i="8"/>
  <c r="AQ17" i="8"/>
  <c r="AP17" i="8"/>
  <c r="AO17" i="8"/>
  <c r="AN17" i="8"/>
  <c r="AM17" i="8"/>
  <c r="AL17" i="8"/>
  <c r="AK17" i="8"/>
  <c r="AJ17" i="8"/>
  <c r="AI17" i="8"/>
  <c r="AH17" i="8"/>
  <c r="AG17" i="8"/>
  <c r="AF17" i="8"/>
  <c r="AE17" i="8"/>
  <c r="AD17" i="8"/>
  <c r="AC17" i="8"/>
  <c r="AB17" i="8"/>
  <c r="AA17" i="8"/>
  <c r="Z17" i="8"/>
  <c r="Y17" i="8"/>
  <c r="X17" i="8"/>
  <c r="W17" i="8"/>
  <c r="V17" i="8"/>
  <c r="U17" i="8"/>
  <c r="T17" i="8"/>
  <c r="S17" i="8"/>
  <c r="R17" i="8"/>
  <c r="Q17" i="8"/>
  <c r="P17" i="8"/>
  <c r="O17" i="8"/>
  <c r="N17" i="8"/>
  <c r="M17" i="8"/>
  <c r="L17" i="8"/>
  <c r="K17" i="8"/>
  <c r="J17" i="8"/>
  <c r="I17" i="8"/>
  <c r="H17" i="8"/>
  <c r="G17" i="8"/>
  <c r="BG16" i="8"/>
  <c r="BF16" i="8"/>
  <c r="BE16" i="8"/>
  <c r="BD16" i="8"/>
  <c r="BC16" i="8"/>
  <c r="BB16" i="8"/>
  <c r="BA16" i="8"/>
  <c r="AZ16" i="8"/>
  <c r="AY16" i="8"/>
  <c r="AX16" i="8"/>
  <c r="AW16" i="8"/>
  <c r="AV16" i="8"/>
  <c r="AU16" i="8"/>
  <c r="AT16" i="8"/>
  <c r="AS16" i="8"/>
  <c r="AR16" i="8"/>
  <c r="AQ16" i="8"/>
  <c r="AP16" i="8"/>
  <c r="AO16" i="8"/>
  <c r="AN16" i="8"/>
  <c r="AM16" i="8"/>
  <c r="AL16" i="8"/>
  <c r="AK16" i="8"/>
  <c r="AJ16" i="8"/>
  <c r="AI16" i="8"/>
  <c r="AH16" i="8"/>
  <c r="AG16" i="8"/>
  <c r="AF16" i="8"/>
  <c r="AE16" i="8"/>
  <c r="AD16" i="8"/>
  <c r="AC16" i="8"/>
  <c r="AB16" i="8"/>
  <c r="AA16" i="8"/>
  <c r="Z16" i="8"/>
  <c r="Y16" i="8"/>
  <c r="X16" i="8"/>
  <c r="W16" i="8"/>
  <c r="V16" i="8"/>
  <c r="U16" i="8"/>
  <c r="T16" i="8"/>
  <c r="S16" i="8"/>
  <c r="R16" i="8"/>
  <c r="Q16" i="8"/>
  <c r="P16" i="8"/>
  <c r="O16" i="8"/>
  <c r="N16" i="8"/>
  <c r="M16" i="8"/>
  <c r="L16" i="8"/>
  <c r="K16" i="8"/>
  <c r="J16" i="8"/>
  <c r="I16" i="8"/>
  <c r="H16" i="8"/>
  <c r="G16" i="8"/>
  <c r="BG15" i="8"/>
  <c r="BF15" i="8"/>
  <c r="BE15" i="8"/>
  <c r="BD15" i="8"/>
  <c r="BC15" i="8"/>
  <c r="BB15" i="8"/>
  <c r="BA15" i="8"/>
  <c r="AZ15" i="8"/>
  <c r="AY15" i="8"/>
  <c r="AX15" i="8"/>
  <c r="AW15" i="8"/>
  <c r="AV15" i="8"/>
  <c r="AU15" i="8"/>
  <c r="AT15" i="8"/>
  <c r="AS15" i="8"/>
  <c r="AR15" i="8"/>
  <c r="AQ15" i="8"/>
  <c r="AP15" i="8"/>
  <c r="AO15" i="8"/>
  <c r="AN15" i="8"/>
  <c r="AM15" i="8"/>
  <c r="AL15" i="8"/>
  <c r="AK15" i="8"/>
  <c r="AJ15" i="8"/>
  <c r="AI15" i="8"/>
  <c r="AH15" i="8"/>
  <c r="AG15" i="8"/>
  <c r="AF15" i="8"/>
  <c r="AE15" i="8"/>
  <c r="AD15" i="8"/>
  <c r="AC15" i="8"/>
  <c r="AB15" i="8"/>
  <c r="AA15" i="8"/>
  <c r="Z15" i="8"/>
  <c r="Y15" i="8"/>
  <c r="X15" i="8"/>
  <c r="W15" i="8"/>
  <c r="V15" i="8"/>
  <c r="U15" i="8"/>
  <c r="T15" i="8"/>
  <c r="S15" i="8"/>
  <c r="R15" i="8"/>
  <c r="Q15" i="8"/>
  <c r="P15" i="8"/>
  <c r="O15" i="8"/>
  <c r="N15" i="8"/>
  <c r="M15" i="8"/>
  <c r="L15" i="8"/>
  <c r="K15" i="8"/>
  <c r="J15" i="8"/>
  <c r="I15" i="8"/>
  <c r="H15" i="8"/>
  <c r="G15" i="8"/>
  <c r="BG14" i="8"/>
  <c r="BF14" i="8"/>
  <c r="BE14" i="8"/>
  <c r="BD14" i="8"/>
  <c r="BC14" i="8"/>
  <c r="BB14" i="8"/>
  <c r="BA14" i="8"/>
  <c r="AZ14" i="8"/>
  <c r="AY14" i="8"/>
  <c r="AX14" i="8"/>
  <c r="AW14" i="8"/>
  <c r="AV14" i="8"/>
  <c r="AU14" i="8"/>
  <c r="AT14" i="8"/>
  <c r="AS14" i="8"/>
  <c r="AR14" i="8"/>
  <c r="AQ14" i="8"/>
  <c r="AP14" i="8"/>
  <c r="AO14" i="8"/>
  <c r="AN14" i="8"/>
  <c r="AM14" i="8"/>
  <c r="AL14" i="8"/>
  <c r="AK14" i="8"/>
  <c r="AJ14" i="8"/>
  <c r="AI14" i="8"/>
  <c r="AH14" i="8"/>
  <c r="AG14" i="8"/>
  <c r="AF14" i="8"/>
  <c r="AE14" i="8"/>
  <c r="AD14" i="8"/>
  <c r="AC14" i="8"/>
  <c r="AB14" i="8"/>
  <c r="AA14" i="8"/>
  <c r="Z14" i="8"/>
  <c r="Y14" i="8"/>
  <c r="X14" i="8"/>
  <c r="W14" i="8"/>
  <c r="V14" i="8"/>
  <c r="U14" i="8"/>
  <c r="T14" i="8"/>
  <c r="S14" i="8"/>
  <c r="R14" i="8"/>
  <c r="Q14" i="8"/>
  <c r="P14" i="8"/>
  <c r="O14" i="8"/>
  <c r="N14" i="8"/>
  <c r="M14" i="8"/>
  <c r="L14" i="8"/>
  <c r="K14" i="8"/>
  <c r="J14" i="8"/>
  <c r="I14" i="8"/>
  <c r="H14" i="8"/>
  <c r="G14" i="8"/>
  <c r="BG13" i="8"/>
  <c r="BF13" i="8"/>
  <c r="BE13" i="8"/>
  <c r="BD13" i="8"/>
  <c r="BC13" i="8"/>
  <c r="BB13" i="8"/>
  <c r="BA13" i="8"/>
  <c r="AZ13" i="8"/>
  <c r="AY13" i="8"/>
  <c r="AX13" i="8"/>
  <c r="AW13" i="8"/>
  <c r="AV13" i="8"/>
  <c r="AU13" i="8"/>
  <c r="AT13" i="8"/>
  <c r="AS13" i="8"/>
  <c r="AR13" i="8"/>
  <c r="AQ13" i="8"/>
  <c r="AP13" i="8"/>
  <c r="AO13" i="8"/>
  <c r="AN13" i="8"/>
  <c r="AM13" i="8"/>
  <c r="AL13" i="8"/>
  <c r="AK13" i="8"/>
  <c r="AJ13" i="8"/>
  <c r="AI13" i="8"/>
  <c r="AH13" i="8"/>
  <c r="AG13" i="8"/>
  <c r="AF13" i="8"/>
  <c r="AE13" i="8"/>
  <c r="AD13" i="8"/>
  <c r="AC13" i="8"/>
  <c r="AB13" i="8"/>
  <c r="AA13" i="8"/>
  <c r="Z13" i="8"/>
  <c r="Y13" i="8"/>
  <c r="X13" i="8"/>
  <c r="W13" i="8"/>
  <c r="V13" i="8"/>
  <c r="U13" i="8"/>
  <c r="T13" i="8"/>
  <c r="S13" i="8"/>
  <c r="R13" i="8"/>
  <c r="Q13" i="8"/>
  <c r="P13" i="8"/>
  <c r="O13" i="8"/>
  <c r="N13" i="8"/>
  <c r="M13" i="8"/>
  <c r="L13" i="8"/>
  <c r="K13" i="8"/>
  <c r="J13" i="8"/>
  <c r="I13" i="8"/>
  <c r="H13" i="8"/>
  <c r="G13" i="8"/>
  <c r="BG12" i="8"/>
  <c r="BF12" i="8"/>
  <c r="BE12" i="8"/>
  <c r="BD12" i="8"/>
  <c r="BC12" i="8"/>
  <c r="BB12" i="8"/>
  <c r="BA12" i="8"/>
  <c r="AZ12" i="8"/>
  <c r="AY12" i="8"/>
  <c r="AX12" i="8"/>
  <c r="AW12" i="8"/>
  <c r="AV12" i="8"/>
  <c r="AU12" i="8"/>
  <c r="AT12" i="8"/>
  <c r="AS12" i="8"/>
  <c r="AR12" i="8"/>
  <c r="AQ12" i="8"/>
  <c r="AP12" i="8"/>
  <c r="AO12" i="8"/>
  <c r="AN12" i="8"/>
  <c r="AM12" i="8"/>
  <c r="AL12" i="8"/>
  <c r="AK12" i="8"/>
  <c r="AJ12" i="8"/>
  <c r="AI12" i="8"/>
  <c r="AH12" i="8"/>
  <c r="AG12" i="8"/>
  <c r="AF12" i="8"/>
  <c r="AE12" i="8"/>
  <c r="AD12" i="8"/>
  <c r="AC12" i="8"/>
  <c r="AB12" i="8"/>
  <c r="AA12" i="8"/>
  <c r="Z12" i="8"/>
  <c r="Y12" i="8"/>
  <c r="X12" i="8"/>
  <c r="W12" i="8"/>
  <c r="V12" i="8"/>
  <c r="U12" i="8"/>
  <c r="T12" i="8"/>
  <c r="S12" i="8"/>
  <c r="R12" i="8"/>
  <c r="Q12" i="8"/>
  <c r="P12" i="8"/>
  <c r="O12" i="8"/>
  <c r="N12" i="8"/>
  <c r="M12" i="8"/>
  <c r="L12" i="8"/>
  <c r="K12" i="8"/>
  <c r="J12" i="8"/>
  <c r="I12" i="8"/>
  <c r="H12" i="8"/>
  <c r="G12" i="8"/>
  <c r="BG11" i="8"/>
  <c r="BF11" i="8"/>
  <c r="BE11" i="8"/>
  <c r="BD11" i="8"/>
  <c r="BC11" i="8"/>
  <c r="BB11" i="8"/>
  <c r="BA11" i="8"/>
  <c r="AZ11" i="8"/>
  <c r="AY11" i="8"/>
  <c r="AX11" i="8"/>
  <c r="AW11" i="8"/>
  <c r="AV11" i="8"/>
  <c r="AU11" i="8"/>
  <c r="AT11" i="8"/>
  <c r="AS11" i="8"/>
  <c r="AR11" i="8"/>
  <c r="AQ11" i="8"/>
  <c r="AP11" i="8"/>
  <c r="AO11" i="8"/>
  <c r="AN11" i="8"/>
  <c r="AM11" i="8"/>
  <c r="AL11" i="8"/>
  <c r="AK11" i="8"/>
  <c r="AJ11" i="8"/>
  <c r="AI11" i="8"/>
  <c r="AH11" i="8"/>
  <c r="AG11" i="8"/>
  <c r="AF11" i="8"/>
  <c r="AE11" i="8"/>
  <c r="AD11" i="8"/>
  <c r="AC11" i="8"/>
  <c r="AB11" i="8"/>
  <c r="AA11" i="8"/>
  <c r="Z11" i="8"/>
  <c r="Y11" i="8"/>
  <c r="X11" i="8"/>
  <c r="W11" i="8"/>
  <c r="V11" i="8"/>
  <c r="U11" i="8"/>
  <c r="T11" i="8"/>
  <c r="S11" i="8"/>
  <c r="R11" i="8"/>
  <c r="Q11" i="8"/>
  <c r="P11" i="8"/>
  <c r="O11" i="8"/>
  <c r="N11" i="8"/>
  <c r="M11" i="8"/>
  <c r="L11" i="8"/>
  <c r="K11" i="8"/>
  <c r="J11" i="8"/>
  <c r="I11" i="8"/>
  <c r="H11" i="8"/>
  <c r="G11" i="8"/>
  <c r="BG10" i="8"/>
  <c r="BF10" i="8"/>
  <c r="BE10" i="8"/>
  <c r="BD10" i="8"/>
  <c r="BC10" i="8"/>
  <c r="BB10" i="8"/>
  <c r="BA10" i="8"/>
  <c r="AZ10" i="8"/>
  <c r="AY10" i="8"/>
  <c r="AX10" i="8"/>
  <c r="AW10" i="8"/>
  <c r="AV10" i="8"/>
  <c r="AU10" i="8"/>
  <c r="AT10" i="8"/>
  <c r="AS10" i="8"/>
  <c r="AR10" i="8"/>
  <c r="AQ10" i="8"/>
  <c r="AP10" i="8"/>
  <c r="AO10" i="8"/>
  <c r="AN10" i="8"/>
  <c r="AM10" i="8"/>
  <c r="AL10" i="8"/>
  <c r="AK10" i="8"/>
  <c r="AJ10" i="8"/>
  <c r="AI10" i="8"/>
  <c r="AH10" i="8"/>
  <c r="AG10" i="8"/>
  <c r="AF10" i="8"/>
  <c r="AE10" i="8"/>
  <c r="AD10" i="8"/>
  <c r="AC10" i="8"/>
  <c r="AB10" i="8"/>
  <c r="AA10" i="8"/>
  <c r="Z10" i="8"/>
  <c r="Y10" i="8"/>
  <c r="X10" i="8"/>
  <c r="W10" i="8"/>
  <c r="V10" i="8"/>
  <c r="U10" i="8"/>
  <c r="T10" i="8"/>
  <c r="S10" i="8"/>
  <c r="R10" i="8"/>
  <c r="Q10" i="8"/>
  <c r="P10" i="8"/>
  <c r="O10" i="8"/>
  <c r="N10" i="8"/>
  <c r="M10" i="8"/>
  <c r="L10" i="8"/>
  <c r="K10" i="8"/>
  <c r="J10" i="8"/>
  <c r="I10" i="8"/>
  <c r="H10" i="8"/>
  <c r="G10" i="8"/>
  <c r="BG8" i="8"/>
  <c r="BE8" i="8"/>
  <c r="BD8" i="8"/>
  <c r="AZ8" i="8"/>
  <c r="AY8" i="8"/>
  <c r="AW8" i="8"/>
  <c r="AV8" i="8"/>
  <c r="AT8" i="8"/>
  <c r="AS8" i="8"/>
  <c r="AR8" i="8"/>
  <c r="AQ8" i="8"/>
  <c r="AO8" i="8"/>
  <c r="AN8" i="8"/>
  <c r="AL8" i="8"/>
  <c r="AK8" i="8"/>
  <c r="AJ8" i="8"/>
  <c r="AI8" i="8"/>
  <c r="AG8" i="8"/>
  <c r="AF8" i="8"/>
  <c r="AD8" i="8"/>
  <c r="AC8" i="8"/>
  <c r="AB8" i="8"/>
  <c r="AA8" i="8"/>
  <c r="Y8" i="8"/>
  <c r="X8" i="8"/>
  <c r="V8" i="8"/>
  <c r="U8" i="8"/>
  <c r="T8" i="8"/>
  <c r="S8" i="8"/>
  <c r="Q8" i="8"/>
  <c r="P8" i="8"/>
  <c r="N8" i="8"/>
  <c r="M8" i="8"/>
  <c r="L8" i="8"/>
  <c r="K8" i="8"/>
  <c r="I8" i="8"/>
  <c r="H8" i="8"/>
  <c r="BF7" i="8"/>
  <c r="BE7" i="8"/>
  <c r="BD7" i="8"/>
  <c r="BC7" i="8"/>
  <c r="BA7" i="8"/>
  <c r="AZ7" i="8"/>
  <c r="AX7" i="8"/>
  <c r="AW7" i="8"/>
  <c r="AV7" i="8"/>
  <c r="AU7" i="8"/>
  <c r="AS7" i="8"/>
  <c r="AR7" i="8"/>
  <c r="AP7" i="8"/>
  <c r="AO7" i="8"/>
  <c r="AN7" i="8"/>
  <c r="AM7" i="8"/>
  <c r="AK7" i="8"/>
  <c r="AJ7" i="8"/>
  <c r="AH7" i="8"/>
  <c r="AG7" i="8"/>
  <c r="AF7" i="8"/>
  <c r="AE7" i="8"/>
  <c r="AC7" i="8"/>
  <c r="AB7" i="8"/>
  <c r="Z7" i="8"/>
  <c r="Y7" i="8"/>
  <c r="X7" i="8"/>
  <c r="W7" i="8"/>
  <c r="U7" i="8"/>
  <c r="T7" i="8"/>
  <c r="R7" i="8"/>
  <c r="Q7" i="8"/>
  <c r="P7" i="8"/>
  <c r="O7" i="8"/>
  <c r="M7" i="8"/>
  <c r="L7" i="8"/>
  <c r="J7" i="8"/>
  <c r="I7" i="8"/>
  <c r="H7" i="8"/>
  <c r="H6" i="8"/>
  <c r="D6" i="8"/>
  <c r="BC8" i="8" s="1"/>
  <c r="F13" i="7"/>
  <c r="D13" i="7"/>
  <c r="G12" i="7"/>
  <c r="G11" i="7"/>
  <c r="G10" i="7"/>
  <c r="G9" i="7"/>
  <c r="Q31" i="6"/>
  <c r="Q30" i="6"/>
  <c r="S21" i="6"/>
  <c r="Q21" i="6"/>
  <c r="D21" i="6"/>
  <c r="B21" i="6"/>
  <c r="P21" i="6" s="1"/>
  <c r="S20" i="6"/>
  <c r="Q20" i="6"/>
  <c r="P20" i="6"/>
  <c r="D20" i="6"/>
  <c r="B20" i="6"/>
  <c r="S19" i="6"/>
  <c r="Q19" i="6"/>
  <c r="P19" i="6"/>
  <c r="E19" i="6"/>
  <c r="D19" i="6"/>
  <c r="R19" i="6" s="1"/>
  <c r="B19" i="6"/>
  <c r="R18" i="6"/>
  <c r="P18" i="6"/>
  <c r="D18" i="6"/>
  <c r="Q18" i="6" s="1"/>
  <c r="B18" i="6"/>
  <c r="Q17" i="6"/>
  <c r="E17" i="6"/>
  <c r="R17" i="6" s="1"/>
  <c r="D17" i="6"/>
  <c r="S17" i="6" s="1"/>
  <c r="B17" i="6"/>
  <c r="P17" i="6" s="1"/>
  <c r="P16" i="6"/>
  <c r="D16" i="6"/>
  <c r="S16" i="6" s="1"/>
  <c r="B16" i="6"/>
  <c r="S15" i="6"/>
  <c r="R15" i="6"/>
  <c r="E15" i="6"/>
  <c r="D15" i="6"/>
  <c r="Q15" i="6" s="1"/>
  <c r="B15" i="6"/>
  <c r="P15" i="6" s="1"/>
  <c r="D14" i="6"/>
  <c r="S14" i="6" s="1"/>
  <c r="B14" i="6"/>
  <c r="P14" i="6" s="1"/>
  <c r="D13" i="6"/>
  <c r="R13" i="6" s="1"/>
  <c r="B13" i="6"/>
  <c r="P13" i="6" s="1"/>
  <c r="S12" i="6"/>
  <c r="Q12" i="6"/>
  <c r="D12" i="6"/>
  <c r="B12" i="6"/>
  <c r="P12" i="6" s="1"/>
  <c r="J8" i="6"/>
  <c r="H8" i="6"/>
  <c r="J7" i="6"/>
  <c r="H7" i="6"/>
  <c r="F7" i="6"/>
  <c r="B3" i="6"/>
  <c r="D27" i="5"/>
  <c r="D26" i="5"/>
  <c r="D25" i="5"/>
  <c r="Q29" i="6" s="1"/>
  <c r="D24" i="5"/>
  <c r="Q28" i="6" s="1"/>
  <c r="D23" i="5"/>
  <c r="Q27" i="6" s="1"/>
  <c r="D22" i="5"/>
  <c r="I18" i="5"/>
  <c r="F18" i="5"/>
  <c r="I17" i="5"/>
  <c r="F17" i="5"/>
  <c r="I16" i="5"/>
  <c r="F16" i="5"/>
  <c r="I15" i="5"/>
  <c r="F15" i="5"/>
  <c r="I14" i="5"/>
  <c r="F14" i="5"/>
  <c r="I13" i="5"/>
  <c r="F13" i="5"/>
  <c r="I12" i="5"/>
  <c r="F12" i="5"/>
  <c r="I11" i="5"/>
  <c r="D28" i="5" s="1"/>
  <c r="F11" i="5"/>
  <c r="I10" i="5"/>
  <c r="F10" i="5"/>
  <c r="I9" i="5"/>
  <c r="F9" i="5"/>
  <c r="E29" i="4"/>
  <c r="Q36" i="6" s="1"/>
  <c r="E28" i="4"/>
  <c r="Q35" i="6" s="1"/>
  <c r="E27" i="4"/>
  <c r="Q34" i="6" s="1"/>
  <c r="E26" i="4"/>
  <c r="Q33" i="6" s="1"/>
  <c r="E25" i="4"/>
  <c r="E23" i="4"/>
  <c r="L7" i="6" s="1"/>
  <c r="E22" i="4"/>
  <c r="I18" i="4"/>
  <c r="J18" i="4" s="1"/>
  <c r="B18" i="4"/>
  <c r="I17" i="4"/>
  <c r="J17" i="4" s="1"/>
  <c r="B17" i="4"/>
  <c r="I16" i="4"/>
  <c r="J16" i="4" s="1"/>
  <c r="B16" i="4"/>
  <c r="I15" i="4"/>
  <c r="J15" i="4" s="1"/>
  <c r="B15" i="4"/>
  <c r="I14" i="4"/>
  <c r="J14" i="4" s="1"/>
  <c r="B14" i="4"/>
  <c r="I13" i="4"/>
  <c r="J13" i="4" s="1"/>
  <c r="B13" i="4"/>
  <c r="J12" i="4"/>
  <c r="I12" i="4"/>
  <c r="B12" i="4"/>
  <c r="J11" i="4"/>
  <c r="I11" i="4"/>
  <c r="B11" i="4"/>
  <c r="I10" i="4"/>
  <c r="J10" i="4" s="1"/>
  <c r="B10" i="4"/>
  <c r="I9" i="4"/>
  <c r="J9" i="4" s="1"/>
  <c r="E24" i="4" s="1"/>
  <c r="B9" i="4"/>
  <c r="E27" i="3"/>
  <c r="Q25" i="6" s="1"/>
  <c r="E26" i="3"/>
  <c r="Q24" i="6" s="1"/>
  <c r="E25" i="3"/>
  <c r="Q23" i="6" s="1"/>
  <c r="E24" i="3"/>
  <c r="K18" i="3"/>
  <c r="G18" i="3"/>
  <c r="F18" i="3"/>
  <c r="E21" i="6" s="1"/>
  <c r="F17" i="3"/>
  <c r="E20" i="6" s="1"/>
  <c r="R20" i="6" s="1"/>
  <c r="K16" i="3"/>
  <c r="G16" i="3"/>
  <c r="F16" i="3"/>
  <c r="F15" i="3"/>
  <c r="E18" i="6" s="1"/>
  <c r="K14" i="3"/>
  <c r="G14" i="3"/>
  <c r="F14" i="3"/>
  <c r="F13" i="3"/>
  <c r="E16" i="6" s="1"/>
  <c r="K12" i="3"/>
  <c r="G12" i="3"/>
  <c r="F12" i="3"/>
  <c r="F11" i="3"/>
  <c r="E13" i="7" s="1"/>
  <c r="K10" i="3"/>
  <c r="G10" i="3"/>
  <c r="F10" i="3"/>
  <c r="E13" i="6" s="1"/>
  <c r="S13" i="6" s="1"/>
  <c r="F9" i="3"/>
  <c r="E12" i="6" s="1"/>
  <c r="R12" i="6" s="1"/>
  <c r="C26" i="2"/>
  <c r="C25" i="2"/>
  <c r="F8" i="6" s="1"/>
  <c r="C24" i="2"/>
  <c r="C23" i="2"/>
  <c r="L8" i="6" l="1"/>
  <c r="R21" i="6"/>
  <c r="K17" i="3"/>
  <c r="E14" i="6"/>
  <c r="R14" i="6" s="1"/>
  <c r="Q16" i="6"/>
  <c r="S18" i="6"/>
  <c r="R16" i="6"/>
  <c r="N7" i="8"/>
  <c r="V7" i="8"/>
  <c r="AD7" i="8"/>
  <c r="AL7" i="8"/>
  <c r="AT7" i="8"/>
  <c r="BB7" i="8"/>
  <c r="J8" i="8"/>
  <c r="R8" i="8"/>
  <c r="Z8" i="8"/>
  <c r="AH8" i="8"/>
  <c r="AP8" i="8"/>
  <c r="AX8" i="8"/>
  <c r="BF8" i="8"/>
  <c r="G11" i="3"/>
  <c r="G13" i="3"/>
  <c r="G15" i="3"/>
  <c r="G17" i="3"/>
  <c r="G9" i="3"/>
  <c r="K9" i="3"/>
  <c r="K11" i="3"/>
  <c r="K13" i="3"/>
  <c r="L13" i="3" s="1"/>
  <c r="K15" i="3"/>
  <c r="Q14" i="6"/>
  <c r="D8" i="6"/>
  <c r="Q13" i="6"/>
  <c r="C27" i="2"/>
  <c r="BA8" i="8"/>
  <c r="BB8" i="8"/>
  <c r="K7" i="8"/>
  <c r="S7" i="8"/>
  <c r="AA7" i="8"/>
  <c r="AI7" i="8"/>
  <c r="AQ7" i="8"/>
  <c r="AY7" i="8"/>
  <c r="BG7" i="8"/>
  <c r="O8" i="8"/>
  <c r="W8" i="8"/>
  <c r="AE8" i="8"/>
  <c r="AM8" i="8"/>
  <c r="AU8" i="8"/>
  <c r="L11" i="3" l="1"/>
  <c r="L17" i="3"/>
  <c r="L9" i="3"/>
  <c r="L10" i="3"/>
  <c r="E21" i="3"/>
  <c r="L18" i="3"/>
  <c r="L12" i="3"/>
  <c r="L14" i="3"/>
  <c r="L15" i="3"/>
  <c r="L16" i="3"/>
  <c r="C13" i="7" l="1"/>
  <c r="G13" i="7" s="1"/>
  <c r="B7" i="6"/>
  <c r="E22" i="3"/>
  <c r="B8" i="6" s="1"/>
  <c r="E23" i="3"/>
  <c r="D7" i="6" s="1"/>
  <c r="I24" i="3"/>
  <c r="F26" i="6" s="1"/>
  <c r="H24" i="3"/>
  <c r="B26" i="6" s="1"/>
  <c r="I23" i="3"/>
  <c r="F25" i="6" s="1"/>
  <c r="H23" i="3"/>
  <c r="B25" i="6" s="1"/>
  <c r="H22" i="3"/>
  <c r="B24" i="6" s="1"/>
  <c r="I22" i="3"/>
  <c r="F24" i="6" s="1"/>
</calcChain>
</file>

<file path=xl/sharedStrings.xml><?xml version="1.0" encoding="utf-8"?>
<sst xmlns="http://schemas.openxmlformats.org/spreadsheetml/2006/main" count="351" uniqueCount="266">
  <si>
    <t>Project Health Command Center</t>
  </si>
  <si>
    <t>Free Project Health &amp; Risk Diagnostic  ·  by edgeVelocity Labs</t>
  </si>
  <si>
    <t>Is your project really on track?</t>
  </si>
  <si>
    <t>Rate 10 health dimensions Green / Amber / Red and get an instant, weighted Project Health Score (0–100), a RAG status, your top 3 attention areas and a one-screen dashboard. No macros, no add-ons.</t>
  </si>
  <si>
    <t>Before you start: make your own copy (Google Sheets: File › Make a copy  ·  Excel: File › Save As).</t>
  </si>
  <si>
    <t>Get your health score in 4 steps</t>
  </si>
  <si>
    <t>Enter your project basics</t>
  </si>
  <si>
    <t>Name, dates, budget, actual spend, % complete and status. Every other tab reads from here.</t>
  </si>
  <si>
    <t>Rate the 10 dimensions</t>
  </si>
  <si>
    <t>Pick Green, Amber or Red for each dimension and add a comment and next action. The score calculates instantly.</t>
  </si>
  <si>
    <t>Log risks, milestones and phases</t>
  </si>
  <si>
    <t>Add up to 10 RAID items and 10 milestones, then enter a start and end week for each phase on 08_GANTT.</t>
  </si>
  <si>
    <t>Review your dashboard</t>
  </si>
  <si>
    <t>Health score, RAG status, top 3 attention areas and live charts. Record the score each week on 07_WEEKLY_SNAPSHOT.</t>
  </si>
  <si>
    <t>How the score works</t>
  </si>
  <si>
    <t>Each rating converts to points (Green 90 · Amber 65 · Red 25). The Overall Project Health Score is the weighted average of the dimensions you have rated, so a half-finished check is never penalised. Change a weight on 03_HEALTH_CHECK to reflect what matters most on your project.</t>
  </si>
  <si>
    <t>90–100</t>
  </si>
  <si>
    <t>Excellent</t>
  </si>
  <si>
    <t>Keep going. Re-check every 2 weeks.</t>
  </si>
  <si>
    <t>75–89</t>
  </si>
  <si>
    <t>Healthy</t>
  </si>
  <si>
    <t>Minor watch items. Review at your next status meeting.</t>
  </si>
  <si>
    <t>60–74</t>
  </si>
  <si>
    <t>Attention Required</t>
  </si>
  <si>
    <t>Act this week on your top 3 attention areas.</t>
  </si>
  <si>
    <t>40–59</t>
  </si>
  <si>
    <t>At Risk</t>
  </si>
  <si>
    <t>Escalate to your sponsor with a recovery plan.</t>
  </si>
  <si>
    <t>0–39</t>
  </si>
  <si>
    <t>Critical</t>
  </si>
  <si>
    <t>Stop and re-baseline scope, schedule and budget.</t>
  </si>
  <si>
    <t>What's in this workbook</t>
  </si>
  <si>
    <t>01_START_HERE</t>
  </si>
  <si>
    <t>This guide</t>
  </si>
  <si>
    <t>02_PROJECT_INPUT</t>
  </si>
  <si>
    <t>Project basics that feed every other tab, plus budget and time-elapsed checks</t>
  </si>
  <si>
    <t>03_HEALTH_CHECK</t>
  </si>
  <si>
    <t>10 weighted dimensions, overall score, RAG status and top 3 attention areas</t>
  </si>
  <si>
    <t>04_RAID_LITE</t>
  </si>
  <si>
    <t>Risks, assumptions, issues and dependencies with auto IDs and severity scoring</t>
  </si>
  <si>
    <t>05_MILESTONES</t>
  </si>
  <si>
    <t>Key dates with forecast variance and automatic overdue flags</t>
  </si>
  <si>
    <t>06_DASHBOARD</t>
  </si>
  <si>
    <t>One-screen executive view with 5 live charts</t>
  </si>
  <si>
    <t>07_WEEKLY_SNAPSHOT</t>
  </si>
  <si>
    <t>4-week health trend with a live 'this week' row to copy from</t>
  </si>
  <si>
    <t>08_GANTT</t>
  </si>
  <si>
    <t>52-week phase timeline that draws itself, with a current-week marker</t>
  </si>
  <si>
    <t>Colour key</t>
  </si>
  <si>
    <t>Your input</t>
  </si>
  <si>
    <t>Cream cells are yours to type in or pick from a dropdown.</t>
  </si>
  <si>
    <t>Auto-calculated</t>
  </si>
  <si>
    <t>Grey cells hold formulas. Leave them as they are.</t>
  </si>
  <si>
    <t>Ready for the complete system?</t>
  </si>
  <si>
    <t>The Advanced Project Planner adds tasks, Kanban, a full Gantt, budget planned vs actual, a complete RAID log, a client view and one-click project reports, all in one Google Sheets workspace.</t>
  </si>
  <si>
    <t>Explore the Advanced Project Planner  ›</t>
  </si>
  <si>
    <t>Managing capital projects? CapGate Pro splits every hour and invoice into CapEx and OpEx, with audit checks built in.</t>
  </si>
  <si>
    <t>See CapGate Pro  ›</t>
  </si>
  <si>
    <t>Designed by edgeVelocity Labs  ·  edgevelocity.net</t>
  </si>
  <si>
    <t>Project Input</t>
  </si>
  <si>
    <t>Enter your project basics once. Every other tab reads from here.</t>
  </si>
  <si>
    <t>Field</t>
  </si>
  <si>
    <t>Your entry</t>
  </si>
  <si>
    <t>Tip</t>
  </si>
  <si>
    <t>Project Name</t>
  </si>
  <si>
    <t>Sample Project Alpha</t>
  </si>
  <si>
    <t>Shown on the dashboard</t>
  </si>
  <si>
    <t>Client / Business Unit</t>
  </si>
  <si>
    <t>Acme Corp</t>
  </si>
  <si>
    <t>Project Manager</t>
  </si>
  <si>
    <t>Alex Rivera</t>
  </si>
  <si>
    <t>Project Sponsor</t>
  </si>
  <si>
    <t>Priya Shah</t>
  </si>
  <si>
    <t>Project Start Date</t>
  </si>
  <si>
    <t>Also sets week 1 on 08_GANTT</t>
  </si>
  <si>
    <t>Target End Date</t>
  </si>
  <si>
    <t>Must be after the start date</t>
  </si>
  <si>
    <t>Current Phase</t>
  </si>
  <si>
    <t>Execution</t>
  </si>
  <si>
    <t>Pick from the list</t>
  </si>
  <si>
    <t>Overall Status (your view)</t>
  </si>
  <si>
    <t>Amber</t>
  </si>
  <si>
    <t>Your judgement; compare with the calculated RAG</t>
  </si>
  <si>
    <t>Planned Budget</t>
  </si>
  <si>
    <t>Whole project, any currency</t>
  </si>
  <si>
    <t>Actual Spend to Date</t>
  </si>
  <si>
    <t>% Complete</t>
  </si>
  <si>
    <t>Work done, not time elapsed</t>
  </si>
  <si>
    <t>Schedule Status</t>
  </si>
  <si>
    <t>Quick checks (auto-calculated)</t>
  </si>
  <si>
    <t>Budget Remaining</t>
  </si>
  <si>
    <t>Negative means you are over budget</t>
  </si>
  <si>
    <t>Budget Used</t>
  </si>
  <si>
    <t>Compare with % Complete</t>
  </si>
  <si>
    <t>Time Elapsed</t>
  </si>
  <si>
    <t>Share of the schedule already used</t>
  </si>
  <si>
    <t>Days to Target End</t>
  </si>
  <si>
    <t>Negative means the target date has passed</t>
  </si>
  <si>
    <t>Progress vs Time</t>
  </si>
  <si>
    <t>% Complete compared with Time Elapsed</t>
  </si>
  <si>
    <t>Project Health Check</t>
  </si>
  <si>
    <t>Rate each dimension Green / Amber / Red. Scores, RAG status and attention areas calculate automatically.</t>
  </si>
  <si>
    <t>#</t>
  </si>
  <si>
    <t>Dimension</t>
  </si>
  <si>
    <t>Rating</t>
  </si>
  <si>
    <t>Weight</t>
  </si>
  <si>
    <t>Points</t>
  </si>
  <si>
    <t>Weighted</t>
  </si>
  <si>
    <t>Comment / Observation</t>
  </si>
  <si>
    <t>Recommended Action</t>
  </si>
  <si>
    <t>Scope</t>
  </si>
  <si>
    <t>Some scope creep from change requests.</t>
  </si>
  <si>
    <t>Re-baseline scope with sponsor sign-off.</t>
  </si>
  <si>
    <t>Schedule</t>
  </si>
  <si>
    <t>Red</t>
  </si>
  <si>
    <t>Two sprints behind original plan.</t>
  </si>
  <si>
    <t>Add resources or replan the critical path.</t>
  </si>
  <si>
    <t>Budget</t>
  </si>
  <si>
    <t>12% over plan to date; trending tighter.</t>
  </si>
  <si>
    <t>Tighten the forecast and review remaining spend.</t>
  </si>
  <si>
    <t>Resources</t>
  </si>
  <si>
    <t>Green</t>
  </si>
  <si>
    <t>Team fully staffed, no major gaps.</t>
  </si>
  <si>
    <t>No action needed.</t>
  </si>
  <si>
    <t>Quality</t>
  </si>
  <si>
    <t>QA passing, no major defects open.</t>
  </si>
  <si>
    <t>Continue the current QA cadence.</t>
  </si>
  <si>
    <t>Risks</t>
  </si>
  <si>
    <t>Vendor delivery risk being monitored.</t>
  </si>
  <si>
    <t>Escalate the vendor risk and confirm the delivery date.</t>
  </si>
  <si>
    <t>Dependencies</t>
  </si>
  <si>
    <t>One legal dependency outstanding.</t>
  </si>
  <si>
    <t>Follow up with legal for sign-off this week.</t>
  </si>
  <si>
    <t>Stakeholders</t>
  </si>
  <si>
    <t>Sponsor engaged, steering committee aligned.</t>
  </si>
  <si>
    <t>Communication</t>
  </si>
  <si>
    <t>Status reporting cadence occasionally slips.</t>
  </si>
  <si>
    <t>Set a fixed weekly reporting slot.</t>
  </si>
  <si>
    <t>Delivery Readiness</t>
  </si>
  <si>
    <t>On track overall but watch budget and schedule.</t>
  </si>
  <si>
    <t>Monitor budget and schedule closely.</t>
  </si>
  <si>
    <t>Summary</t>
  </si>
  <si>
    <t>Top 3 Attention Areas  (lowest points first, heaviest weight breaks ties)</t>
  </si>
  <si>
    <t>Overall Health Score</t>
  </si>
  <si>
    <t>Health Label</t>
  </si>
  <si>
    <t>RAG Status</t>
  </si>
  <si>
    <t>Dimensions Rated</t>
  </si>
  <si>
    <t>Green dimensions are never listed. Clear an attention area by fixing it, then re-rate it.</t>
  </si>
  <si>
    <t>RAID Lite</t>
  </si>
  <si>
    <t>A compact Risks · Assumptions · Issues · Dependencies log for up to 10 items. IDs and severity calculate automatically.</t>
  </si>
  <si>
    <t>ID</t>
  </si>
  <si>
    <t>Type</t>
  </si>
  <si>
    <t>Title</t>
  </si>
  <si>
    <t>Description</t>
  </si>
  <si>
    <t>Owner</t>
  </si>
  <si>
    <t>Probability</t>
  </si>
  <si>
    <t>Impact</t>
  </si>
  <si>
    <t>Score</t>
  </si>
  <si>
    <t>Severity</t>
  </si>
  <si>
    <t>Status</t>
  </si>
  <si>
    <t>Next Review</t>
  </si>
  <si>
    <t>Mitigation / Action</t>
  </si>
  <si>
    <t>Risk</t>
  </si>
  <si>
    <t>Key vendor delivery delay</t>
  </si>
  <si>
    <t>Vendor may miss the agreed hardware delivery window.</t>
  </si>
  <si>
    <t>Alex</t>
  </si>
  <si>
    <t>Medium</t>
  </si>
  <si>
    <t>High</t>
  </si>
  <si>
    <t>Monitoring</t>
  </si>
  <si>
    <t>Weekly check-in with the vendor account manager.</t>
  </si>
  <si>
    <t>Issue</t>
  </si>
  <si>
    <t>Budget overspend</t>
  </si>
  <si>
    <t>Actual spend is 12% over plan to date.</t>
  </si>
  <si>
    <t>Priya</t>
  </si>
  <si>
    <t>Open</t>
  </si>
  <si>
    <t>Review scope and remaining spend with finance.</t>
  </si>
  <si>
    <t>Dependency</t>
  </si>
  <si>
    <t>Legal sign-off on contract</t>
  </si>
  <si>
    <t>Vendor onboarding cannot start until the MSA is signed.</t>
  </si>
  <si>
    <t>Jordan</t>
  </si>
  <si>
    <t>Low</t>
  </si>
  <si>
    <t>Escalated</t>
  </si>
  <si>
    <t>Escalated to the legal lead for priority review.</t>
  </si>
  <si>
    <t>Assumption</t>
  </si>
  <si>
    <t>Test environment ready by UAT</t>
  </si>
  <si>
    <t>Infrastructure team confirms the UAT environment by week 10.</t>
  </si>
  <si>
    <t>Confirm the environment date in the next infra sync.</t>
  </si>
  <si>
    <t>Score = Probability × Impact (Low 1 · Medium 2 · High 3). Issues have already happened, so they score as High probability. Overdue review dates turn red.</t>
  </si>
  <si>
    <t>Items by Type</t>
  </si>
  <si>
    <t>Total RAID Items</t>
  </si>
  <si>
    <t>Open Items</t>
  </si>
  <si>
    <t>High Severity (open)</t>
  </si>
  <si>
    <t>Reviews Overdue</t>
  </si>
  <si>
    <t>Assumptions</t>
  </si>
  <si>
    <t>Issues</t>
  </si>
  <si>
    <t>Milestones</t>
  </si>
  <si>
    <t>Track up to 10 key dates. Variance and overdue flags calculate automatically.</t>
  </si>
  <si>
    <t>Milestone</t>
  </si>
  <si>
    <t>Planned Date</t>
  </si>
  <si>
    <t>Actual / Forecast</t>
  </si>
  <si>
    <t>Variance (days)</t>
  </si>
  <si>
    <t>Flag</t>
  </si>
  <si>
    <t>Notes</t>
  </si>
  <si>
    <t>Requirements Sign-off</t>
  </si>
  <si>
    <t>Complete</t>
  </si>
  <si>
    <t>Signed off two days late.</t>
  </si>
  <si>
    <t>Design Review</t>
  </si>
  <si>
    <t>No major findings.</t>
  </si>
  <si>
    <t>Vendor Hardware Delivery</t>
  </si>
  <si>
    <t>Delayed</t>
  </si>
  <si>
    <t>Vendor confirmed a two-week slip.</t>
  </si>
  <si>
    <t>UAT Complete</t>
  </si>
  <si>
    <t>Depends on the hardware delivery.</t>
  </si>
  <si>
    <t>Go-Live</t>
  </si>
  <si>
    <t>Not Started</t>
  </si>
  <si>
    <t>Variance = forecast minus planned date (positive = late). Flag: Overdue once the planned date has passed and the milestone isn't complete; Due soon within 14 days.</t>
  </si>
  <si>
    <t>Milestones by Status</t>
  </si>
  <si>
    <t>Total Milestones</t>
  </si>
  <si>
    <t>On Track</t>
  </si>
  <si>
    <t>Overdue</t>
  </si>
  <si>
    <t>HEALTH SCORE</t>
  </si>
  <si>
    <t>RAG STATUS</t>
  </si>
  <si>
    <t>% COMPLETE</t>
  </si>
  <si>
    <t>BUDGET USED</t>
  </si>
  <si>
    <t>SCHEDULE</t>
  </si>
  <si>
    <t>OPEN RAID ITEMS</t>
  </si>
  <si>
    <t>Health by Dimension</t>
  </si>
  <si>
    <t>Top 3 Attention Areas</t>
  </si>
  <si>
    <t>RAG Distribution</t>
  </si>
  <si>
    <t>RAID Items by Type</t>
  </si>
  <si>
    <t>Health Trend  (from 07_WEEKLY_SNAPSHOT)</t>
  </si>
  <si>
    <t>Want the complete system?  The Advanced Project Planner adds tasks, Kanban, full Gantt, budget tracking, RAID management and reports.</t>
  </si>
  <si>
    <t>Weekly Health Snapshot</t>
  </si>
  <si>
    <t>Record your scores once a week to see the trend. Copy the live row into the next empty week.</t>
  </si>
  <si>
    <t>Week</t>
  </si>
  <si>
    <t>Health Score</t>
  </si>
  <si>
    <t>RAG</t>
  </si>
  <si>
    <t>Note</t>
  </si>
  <si>
    <t>Week 1</t>
  </si>
  <si>
    <t>Kick-off complete, team onboarded.</t>
  </si>
  <si>
    <t>Week 2</t>
  </si>
  <si>
    <t>First sprint slipped by three days.</t>
  </si>
  <si>
    <t>Week 3</t>
  </si>
  <si>
    <t>Vendor flagged a possible delay.</t>
  </si>
  <si>
    <t>Week 4</t>
  </si>
  <si>
    <t>Two sprints behind; recovery plan in progress.</t>
  </si>
  <si>
    <t>This week (live)</t>
  </si>
  <si>
    <t>Live from 03_HEALTH_CHECK. Copy into the next week.</t>
  </si>
  <si>
    <t>Schedule, Budget and Risk are the points for those three dimensions on 03_HEALTH_CHECK (Green 90 · Amber 65 · Red 25).</t>
  </si>
  <si>
    <t>Trend</t>
  </si>
  <si>
    <t>High-Level Gantt</t>
  </si>
  <si>
    <t>Enter a start week and end week for each phase. The bar draws itself; the gold column marks the current week.</t>
  </si>
  <si>
    <t>Week 1 starts</t>
  </si>
  <si>
    <t>Now</t>
  </si>
  <si>
    <t>Month</t>
  </si>
  <si>
    <t>Week starting (Monday)</t>
  </si>
  <si>
    <t>Phase / Activity</t>
  </si>
  <si>
    <t>Start Wk</t>
  </si>
  <si>
    <t>End Wk</t>
  </si>
  <si>
    <t>Weeks</t>
  </si>
  <si>
    <t>Initiation &amp; Planning</t>
  </si>
  <si>
    <t>Requirements &amp; Design</t>
  </si>
  <si>
    <t>Build / Execution</t>
  </si>
  <si>
    <t>Testing &amp; UAT</t>
  </si>
  <si>
    <t>Go-Live &amp; Closure</t>
  </si>
  <si>
    <t>Weeks run Monday to Sunday, starting from the week your project starts. Shaded bands mark alternate months. An end week before the start week turns red. Up to 12 phases across 52 weeks.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</si>
</sst>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5" formatCode="d\ mmm\ yyyy"/>
    <numFmt numFmtId="166" formatCode="0.0"/>
    <numFmt numFmtId="167" formatCode="\+0;\-0;0"/>
    <numFmt numFmtId="168" formatCode="ddd\ d\ mmm\ yyyy"/>
    <numFmt numFmtId="169" formatCode="&quot;Week &quot;0"/>
    <numFmt numFmtId="170" formatCode=";;;"/>
  </numFmts>
  <fonts count="33" x14ac:knownFonts="1">
    <font>
      <sz val="11"/>
      <color theme="1"/>
      <name val="Calibri"/>
      <family val="2"/>
      <scheme val="minor"/>
    </font>
    <font>
      <b/>
      <sz val="20"/>
      <color rgb="FFFFFFFF"/>
      <name val="Calibri"/>
    </font>
    <font>
      <sz val="11"/>
      <color rgb="FFC8A24A"/>
      <name val="Calibri"/>
    </font>
    <font>
      <b/>
      <sz val="18"/>
      <color rgb="FF1A2E40"/>
      <name val="Calibri"/>
    </font>
    <font>
      <sz val="11"/>
      <color rgb="FF1F2933"/>
      <name val="Calibri"/>
    </font>
    <font>
      <b/>
      <sz val="10"/>
      <color rgb="FF8A5A00"/>
      <name val="Calibri"/>
    </font>
    <font>
      <b/>
      <sz val="12"/>
      <color rgb="FF1A2E40"/>
      <name val="Calibri"/>
    </font>
    <font>
      <b/>
      <sz val="14"/>
      <color rgb="FFFFFFFF"/>
      <name val="Calibri"/>
    </font>
    <font>
      <b/>
      <sz val="11"/>
      <color rgb="FF1A2E40"/>
      <name val="Calibri"/>
    </font>
    <font>
      <sz val="10"/>
      <color rgb="FF1F2933"/>
      <name val="Calibri"/>
    </font>
    <font>
      <b/>
      <sz val="11"/>
      <color rgb="FF1E7B4B"/>
      <name val="Calibri"/>
    </font>
    <font>
      <b/>
      <sz val="11"/>
      <color rgb="FF8A5A00"/>
      <name val="Calibri"/>
    </font>
    <font>
      <b/>
      <sz val="11"/>
      <color rgb="FFA12B2B"/>
      <name val="Calibri"/>
    </font>
    <font>
      <b/>
      <u/>
      <sz val="10"/>
      <color rgb="FF1A2E40"/>
      <name val="Calibri"/>
    </font>
    <font>
      <b/>
      <sz val="10"/>
      <color rgb="FF1F2933"/>
      <name val="Calibri"/>
    </font>
    <font>
      <b/>
      <sz val="15"/>
      <color rgb="FFFFFFFF"/>
      <name val="Calibri"/>
    </font>
    <font>
      <sz val="10"/>
      <color rgb="FFE1E8EE"/>
      <name val="Calibri"/>
    </font>
    <font>
      <b/>
      <u/>
      <sz val="11"/>
      <color rgb="FFC8A24A"/>
      <name val="Calibri"/>
    </font>
    <font>
      <i/>
      <sz val="9"/>
      <color rgb="FF5F6B7A"/>
      <name val="Calibri"/>
    </font>
    <font>
      <sz val="9"/>
      <color rgb="FF5F6B7A"/>
      <name val="Calibri"/>
    </font>
    <font>
      <b/>
      <sz val="10"/>
      <color rgb="FFFFFFFF"/>
      <name val="Calibri"/>
    </font>
    <font>
      <sz val="11"/>
      <color rgb="FF5F6B7A"/>
      <name val="Calibri"/>
    </font>
    <font>
      <b/>
      <sz val="20"/>
      <color rgb="FF1F2933"/>
      <name val="Calibri"/>
    </font>
    <font>
      <b/>
      <sz val="11"/>
      <color rgb="FF1F2933"/>
      <name val="Calibri"/>
    </font>
    <font>
      <b/>
      <sz val="11"/>
      <color rgb="FF14B8A6"/>
      <name val="Calibri"/>
    </font>
    <font>
      <b/>
      <sz val="9"/>
      <color rgb="FF5F6B7A"/>
      <name val="Calibri"/>
    </font>
    <font>
      <b/>
      <sz val="24"/>
      <color rgb="FF1A2E40"/>
      <name val="Calibri"/>
    </font>
    <font>
      <b/>
      <sz val="10"/>
      <color rgb="FF1A2E40"/>
      <name val="Calibri"/>
    </font>
    <font>
      <b/>
      <sz val="11"/>
      <color rgb="FFFFFFFF"/>
      <name val="Calibri"/>
    </font>
    <font>
      <b/>
      <u/>
      <sz val="10"/>
      <color rgb="FFC8A24A"/>
      <name val="Calibri"/>
    </font>
    <font>
      <b/>
      <sz val="9"/>
      <color rgb="FF1A2E40"/>
      <name val="Calibri"/>
    </font>
    <font>
      <sz val="8"/>
      <color rgb="FF5F6B7A"/>
      <name val="Calibri"/>
    </font>
    <font>
      <b/>
      <sz val="8"/>
      <color rgb="FFFFFFFF"/>
      <name val="Calibri"/>
    </font>
  </fonts>
  <fills count="12">
    <fill>
      <patternFill patternType="none"/>
    </fill>
    <fill>
      <patternFill patternType="gray125"/>
    </fill>
    <fill>
      <patternFill patternType="solid">
        <fgColor rgb="FF1A2E40"/>
        <bgColor rgb="FF1A2E40"/>
      </patternFill>
    </fill>
    <fill>
      <patternFill patternType="solid">
        <fgColor rgb="FFC8A24A"/>
        <bgColor rgb="FFC8A24A"/>
      </patternFill>
    </fill>
    <fill>
      <patternFill patternType="solid">
        <fgColor rgb="FFFBF4E2"/>
        <bgColor rgb="FFFBF4E2"/>
      </patternFill>
    </fill>
    <fill>
      <patternFill patternType="solid">
        <fgColor rgb="FFF2F5F8"/>
        <bgColor rgb="FFF2F5F8"/>
      </patternFill>
    </fill>
    <fill>
      <patternFill patternType="solid">
        <fgColor rgb="FFD8F0E2"/>
        <bgColor rgb="FFD8F0E2"/>
      </patternFill>
    </fill>
    <fill>
      <patternFill patternType="solid">
        <fgColor rgb="FFFFFFFF"/>
        <bgColor rgb="FFFFFFFF"/>
      </patternFill>
    </fill>
    <fill>
      <patternFill patternType="solid">
        <fgColor rgb="FFFCEBC4"/>
        <bgColor rgb="FFFCEBC4"/>
      </patternFill>
    </fill>
    <fill>
      <patternFill patternType="solid">
        <fgColor rgb="FFF8D4D4"/>
        <bgColor rgb="FFF8D4D4"/>
      </patternFill>
    </fill>
    <fill>
      <patternFill patternType="solid">
        <fgColor rgb="FFFFF7E0"/>
        <bgColor rgb="FFFFF7E0"/>
      </patternFill>
    </fill>
    <fill>
      <patternFill patternType="solid">
        <fgColor rgb="FF2B4A63"/>
        <bgColor rgb="FF2B4A63"/>
      </patternFill>
    </fill>
  </fills>
  <borders count="13">
    <border>
      <left/>
      <right/>
      <top/>
      <bottom/>
      <diagonal/>
    </border>
    <border>
      <left style="thin">
        <color rgb="FFD5DCE3"/>
      </left>
      <right style="thin">
        <color rgb="FFD5DCE3"/>
      </right>
      <top style="thin">
        <color rgb="FFD5DCE3"/>
      </top>
      <bottom style="thin">
        <color rgb="FFD5DCE3"/>
      </bottom>
      <diagonal/>
    </border>
    <border>
      <left/>
      <right/>
      <top/>
      <bottom style="medium">
        <color rgb="FFC8A24A"/>
      </bottom>
      <diagonal/>
    </border>
    <border>
      <left/>
      <right/>
      <top style="thin">
        <color rgb="FFFFFFFF"/>
      </top>
      <bottom style="thin">
        <color rgb="FFFFFFFF"/>
      </bottom>
      <diagonal/>
    </border>
    <border>
      <left/>
      <right/>
      <top/>
      <bottom style="thin">
        <color rgb="FFD5DCE3"/>
      </bottom>
      <diagonal/>
    </border>
    <border>
      <left style="thin">
        <color rgb="FFD5DCE3"/>
      </left>
      <right style="thin">
        <color rgb="FFD5DCE3"/>
      </right>
      <top style="medium">
        <color rgb="FF14B8A6"/>
      </top>
      <bottom style="thin">
        <color rgb="FFD5DCE3"/>
      </bottom>
      <diagonal/>
    </border>
    <border>
      <left style="thin">
        <color rgb="FFD5DCE3"/>
      </left>
      <right style="thin">
        <color rgb="FFD5DCE3"/>
      </right>
      <top style="thick">
        <color rgb="FFC8A24A"/>
      </top>
      <bottom/>
      <diagonal/>
    </border>
    <border>
      <left style="thin">
        <color rgb="FFD5DCE3"/>
      </left>
      <right style="thin">
        <color rgb="FFD5DCE3"/>
      </right>
      <top/>
      <bottom/>
      <diagonal/>
    </border>
    <border>
      <left style="thin">
        <color rgb="FFD5DCE3"/>
      </left>
      <right style="thin">
        <color rgb="FFD5DCE3"/>
      </right>
      <top/>
      <bottom style="thin">
        <color rgb="FFD5DCE3"/>
      </bottom>
      <diagonal/>
    </border>
    <border>
      <left/>
      <right style="thin">
        <color rgb="FFD5DCE3"/>
      </right>
      <top style="thin">
        <color rgb="FFD5DCE3"/>
      </top>
      <bottom style="thin">
        <color rgb="FFD5DCE3"/>
      </bottom>
      <diagonal/>
    </border>
    <border>
      <left/>
      <right/>
      <top style="thin">
        <color rgb="FFD5DCE3"/>
      </top>
      <bottom style="thin">
        <color rgb="FFD5DCE3"/>
      </bottom>
      <diagonal/>
    </border>
    <border>
      <left/>
      <right/>
      <top/>
      <bottom style="hair">
        <color rgb="FFD5DCE3"/>
      </bottom>
      <diagonal/>
    </border>
    <border>
      <left style="hair">
        <color rgb="FFE3E8ED"/>
      </left>
      <right style="hair">
        <color rgb="FFE3E8ED"/>
      </right>
      <top/>
      <bottom style="thin">
        <color rgb="FFD5DCE3"/>
      </bottom>
      <diagonal/>
    </border>
  </borders>
  <cellStyleXfs count="1">
    <xf numFmtId="0" fontId="0" fillId="0" borderId="0"/>
  </cellStyleXfs>
  <cellXfs count="109">
    <xf numFmtId="0" fontId="0" fillId="0" borderId="0" xfId="0"/>
    <xf numFmtId="0" fontId="0" fillId="2" borderId="0" xfId="0" applyFill="1"/>
    <xf numFmtId="0" fontId="0" fillId="3" borderId="0" xfId="0" applyFill="1"/>
    <xf numFmtId="0" fontId="7" fillId="2" borderId="3" xfId="0" applyFont="1" applyFill="1" applyBorder="1" applyAlignment="1">
      <alignment horizontal="center" vertical="center"/>
    </xf>
    <xf numFmtId="0" fontId="19" fillId="10" borderId="1" xfId="0" applyFont="1" applyFill="1" applyBorder="1" applyAlignment="1">
      <alignment horizontal="center" vertical="center"/>
    </xf>
    <xf numFmtId="0" fontId="19" fillId="5" borderId="1" xfId="0" applyFont="1" applyFill="1" applyBorder="1" applyAlignment="1">
      <alignment horizontal="center" vertical="center"/>
    </xf>
    <xf numFmtId="0" fontId="20" fillId="11" borderId="1" xfId="0" applyFont="1" applyFill="1" applyBorder="1" applyAlignment="1">
      <alignment horizontal="center" vertical="center" wrapText="1"/>
    </xf>
    <xf numFmtId="0" fontId="8" fillId="7" borderId="1" xfId="0" applyFont="1" applyFill="1" applyBorder="1" applyAlignment="1">
      <alignment horizontal="left" vertical="center" indent="1"/>
    </xf>
    <xf numFmtId="0" fontId="4" fillId="10" borderId="1" xfId="0" applyFont="1" applyFill="1" applyBorder="1" applyAlignment="1">
      <alignment horizontal="left" vertical="center" indent="1"/>
    </xf>
    <xf numFmtId="0" fontId="19" fillId="7" borderId="1" xfId="0" applyFont="1" applyFill="1" applyBorder="1" applyAlignment="1">
      <alignment horizontal="left" vertical="center" indent="1"/>
    </xf>
    <xf numFmtId="165" fontId="4" fillId="10" borderId="1" xfId="0" applyNumberFormat="1" applyFont="1" applyFill="1" applyBorder="1" applyAlignment="1">
      <alignment horizontal="left" vertical="center" indent="1"/>
    </xf>
    <xf numFmtId="3" fontId="4" fillId="10" borderId="1" xfId="0" applyNumberFormat="1" applyFont="1" applyFill="1" applyBorder="1" applyAlignment="1">
      <alignment horizontal="left" vertical="center" indent="1"/>
    </xf>
    <xf numFmtId="9" fontId="4" fillId="10" borderId="1" xfId="0" applyNumberFormat="1" applyFont="1" applyFill="1" applyBorder="1" applyAlignment="1">
      <alignment horizontal="left" vertical="center" indent="1"/>
    </xf>
    <xf numFmtId="3" fontId="4" fillId="5" borderId="1" xfId="0" applyNumberFormat="1" applyFont="1" applyFill="1" applyBorder="1" applyAlignment="1">
      <alignment horizontal="left" vertical="center" indent="1"/>
    </xf>
    <xf numFmtId="9" fontId="4" fillId="5" borderId="1" xfId="0" applyNumberFormat="1" applyFont="1" applyFill="1" applyBorder="1" applyAlignment="1">
      <alignment horizontal="left" vertical="center" indent="1"/>
    </xf>
    <xf numFmtId="0" fontId="4" fillId="5" borderId="1" xfId="0" applyFont="1" applyFill="1" applyBorder="1" applyAlignment="1">
      <alignment horizontal="left" vertical="center" indent="1"/>
    </xf>
    <xf numFmtId="0" fontId="21" fillId="7" borderId="1" xfId="0" applyFont="1" applyFill="1" applyBorder="1" applyAlignment="1">
      <alignment horizontal="center" vertical="center"/>
    </xf>
    <xf numFmtId="0" fontId="4" fillId="10" borderId="1" xfId="0" applyFont="1" applyFill="1" applyBorder="1" applyAlignment="1">
      <alignment horizontal="center" vertical="center"/>
    </xf>
    <xf numFmtId="2" fontId="4" fillId="10" borderId="1" xfId="0" applyNumberFormat="1" applyFont="1" applyFill="1" applyBorder="1" applyAlignment="1">
      <alignment horizontal="center" vertical="center"/>
    </xf>
    <xf numFmtId="1" fontId="4" fillId="5" borderId="1" xfId="0" applyNumberFormat="1" applyFont="1" applyFill="1" applyBorder="1" applyAlignment="1">
      <alignment horizontal="center" vertical="center"/>
    </xf>
    <xf numFmtId="166" fontId="4" fillId="5" borderId="1" xfId="0" applyNumberFormat="1" applyFont="1" applyFill="1" applyBorder="1" applyAlignment="1">
      <alignment horizontal="center" vertical="center"/>
    </xf>
    <xf numFmtId="0" fontId="9" fillId="10" borderId="1" xfId="0" applyFont="1" applyFill="1" applyBorder="1" applyAlignment="1">
      <alignment horizontal="left" vertical="center" wrapText="1" indent="1"/>
    </xf>
    <xf numFmtId="0" fontId="23" fillId="5" borderId="1" xfId="0" applyFont="1" applyFill="1" applyBorder="1" applyAlignment="1">
      <alignment horizontal="center" vertical="center"/>
    </xf>
    <xf numFmtId="0" fontId="8" fillId="5" borderId="1" xfId="0" applyFont="1" applyFill="1" applyBorder="1" applyAlignment="1">
      <alignment horizontal="left" vertical="center" indent="1"/>
    </xf>
    <xf numFmtId="0" fontId="9" fillId="5" borderId="1" xfId="0" applyFont="1" applyFill="1" applyBorder="1" applyAlignment="1">
      <alignment horizontal="left" vertical="center" wrapText="1" indent="1"/>
    </xf>
    <xf numFmtId="1" fontId="23" fillId="5" borderId="1" xfId="0" applyNumberFormat="1" applyFont="1" applyFill="1" applyBorder="1" applyAlignment="1">
      <alignment horizontal="center" vertical="center"/>
    </xf>
    <xf numFmtId="0" fontId="8" fillId="5" borderId="1" xfId="0" applyFont="1" applyFill="1" applyBorder="1" applyAlignment="1">
      <alignment horizontal="center" vertical="center"/>
    </xf>
    <xf numFmtId="165" fontId="4" fillId="10" borderId="1" xfId="0" applyNumberFormat="1" applyFont="1" applyFill="1" applyBorder="1" applyAlignment="1">
      <alignment horizontal="center" vertical="center"/>
    </xf>
    <xf numFmtId="0" fontId="8" fillId="10" borderId="1" xfId="0" applyFont="1" applyFill="1" applyBorder="1" applyAlignment="1">
      <alignment horizontal="left" vertical="center" indent="1"/>
    </xf>
    <xf numFmtId="167" fontId="4" fillId="5" borderId="1" xfId="0" applyNumberFormat="1" applyFont="1" applyFill="1" applyBorder="1" applyAlignment="1">
      <alignment horizontal="center" vertical="center"/>
    </xf>
    <xf numFmtId="9" fontId="4" fillId="10" borderId="1" xfId="0" applyNumberFormat="1" applyFont="1" applyFill="1" applyBorder="1" applyAlignment="1">
      <alignment horizontal="center" vertical="center"/>
    </xf>
    <xf numFmtId="0" fontId="9" fillId="5" borderId="1" xfId="0" applyFont="1" applyFill="1" applyBorder="1" applyAlignment="1">
      <alignment horizontal="center" vertical="center"/>
    </xf>
    <xf numFmtId="1" fontId="14" fillId="5" borderId="1" xfId="0" applyNumberFormat="1" applyFont="1" applyFill="1" applyBorder="1" applyAlignment="1">
      <alignment horizontal="center" vertical="center"/>
    </xf>
    <xf numFmtId="1" fontId="4" fillId="10" borderId="1" xfId="0" applyNumberFormat="1" applyFont="1" applyFill="1" applyBorder="1" applyAlignment="1">
      <alignment horizontal="center" vertical="center"/>
    </xf>
    <xf numFmtId="0" fontId="9" fillId="10" borderId="1" xfId="0" applyFont="1" applyFill="1" applyBorder="1" applyAlignment="1">
      <alignment horizontal="left" vertical="center" indent="1"/>
    </xf>
    <xf numFmtId="0" fontId="24" fillId="5" borderId="5" xfId="0" applyFont="1" applyFill="1" applyBorder="1" applyAlignment="1">
      <alignment horizontal="left" vertical="center" indent="1"/>
    </xf>
    <xf numFmtId="1" fontId="23" fillId="5" borderId="5" xfId="0" applyNumberFormat="1" applyFont="1" applyFill="1" applyBorder="1" applyAlignment="1">
      <alignment horizontal="center" vertical="center"/>
    </xf>
    <xf numFmtId="0" fontId="23" fillId="5" borderId="5" xfId="0" applyFont="1" applyFill="1" applyBorder="1" applyAlignment="1">
      <alignment horizontal="center" vertical="center"/>
    </xf>
    <xf numFmtId="0" fontId="19" fillId="5" borderId="5" xfId="0" applyFont="1" applyFill="1" applyBorder="1" applyAlignment="1">
      <alignment horizontal="left" vertical="center" indent="1"/>
    </xf>
    <xf numFmtId="0" fontId="27" fillId="0" borderId="0" xfId="0" applyFont="1" applyAlignment="1">
      <alignment horizontal="right" vertical="center" indent="1"/>
    </xf>
    <xf numFmtId="0" fontId="30" fillId="0" borderId="11" xfId="0" applyFont="1" applyBorder="1" applyAlignment="1">
      <alignment horizontal="left" vertical="center"/>
    </xf>
    <xf numFmtId="0" fontId="31" fillId="0" borderId="11" xfId="0" applyFont="1" applyBorder="1" applyAlignment="1">
      <alignment horizontal="center" vertical="center"/>
    </xf>
    <xf numFmtId="0" fontId="32" fillId="11" borderId="1" xfId="0" applyFont="1" applyFill="1" applyBorder="1" applyAlignment="1">
      <alignment horizontal="center" vertical="center"/>
    </xf>
    <xf numFmtId="170" fontId="0" fillId="0" borderId="12" xfId="0" applyNumberFormat="1" applyBorder="1"/>
    <xf numFmtId="0" fontId="9" fillId="7" borderId="1" xfId="0" applyFont="1" applyFill="1" applyBorder="1" applyAlignment="1">
      <alignment vertical="center" indent="1"/>
    </xf>
    <xf numFmtId="0" fontId="0" fillId="7" borderId="1" xfId="0" applyFill="1" applyBorder="1"/>
    <xf numFmtId="0" fontId="11" fillId="8" borderId="1" xfId="0" applyFont="1" applyFill="1" applyBorder="1" applyAlignment="1">
      <alignment vertical="center" indent="1"/>
    </xf>
    <xf numFmtId="0" fontId="0" fillId="8" borderId="1" xfId="0" applyFill="1" applyBorder="1"/>
    <xf numFmtId="0" fontId="9" fillId="0" borderId="0" xfId="0" applyFont="1" applyAlignment="1">
      <alignment vertical="center" indent="1"/>
    </xf>
    <xf numFmtId="0" fontId="0" fillId="0" borderId="0" xfId="0"/>
    <xf numFmtId="0" fontId="9" fillId="0" borderId="4" xfId="0" applyFont="1" applyBorder="1" applyAlignment="1">
      <alignment vertical="center" indent="1"/>
    </xf>
    <xf numFmtId="0" fontId="0" fillId="0" borderId="4" xfId="0" applyBorder="1"/>
    <xf numFmtId="0" fontId="17" fillId="2" borderId="0" xfId="0" applyFont="1" applyFill="1" applyAlignment="1">
      <alignment vertical="center" indent="1"/>
    </xf>
    <xf numFmtId="0" fontId="0" fillId="2" borderId="0" xfId="0" applyFill="1"/>
    <xf numFmtId="0" fontId="10" fillId="6" borderId="1" xfId="0" applyFont="1" applyFill="1" applyBorder="1" applyAlignment="1">
      <alignment vertical="center" indent="1"/>
    </xf>
    <xf numFmtId="0" fontId="0" fillId="6" borderId="1" xfId="0" applyFill="1" applyBorder="1"/>
    <xf numFmtId="0" fontId="3" fillId="0" borderId="0" xfId="0" applyFont="1"/>
    <xf numFmtId="0" fontId="8" fillId="5" borderId="3" xfId="0" applyFont="1" applyFill="1" applyBorder="1" applyAlignment="1">
      <alignment vertical="center" wrapText="1" indent="1"/>
    </xf>
    <xf numFmtId="0" fontId="0" fillId="5" borderId="3" xfId="0" applyFill="1" applyBorder="1"/>
    <xf numFmtId="0" fontId="12" fillId="9" borderId="1" xfId="0" applyFont="1" applyFill="1" applyBorder="1" applyAlignment="1">
      <alignment horizontal="center" vertical="center"/>
    </xf>
    <xf numFmtId="0" fontId="0" fillId="9" borderId="1" xfId="0" applyFill="1" applyBorder="1"/>
    <xf numFmtId="0" fontId="6" fillId="0" borderId="2" xfId="0" applyFont="1" applyBorder="1"/>
    <xf numFmtId="0" fontId="0" fillId="0" borderId="2" xfId="0" applyBorder="1"/>
    <xf numFmtId="0" fontId="12" fillId="9" borderId="1" xfId="0" applyFont="1" applyFill="1" applyBorder="1" applyAlignment="1">
      <alignment vertical="center" indent="1"/>
    </xf>
    <xf numFmtId="0" fontId="10" fillId="6" borderId="1" xfId="0" applyFont="1" applyFill="1" applyBorder="1" applyAlignment="1">
      <alignment horizontal="center" vertical="center"/>
    </xf>
    <xf numFmtId="0" fontId="13" fillId="0" borderId="4" xfId="0" applyFont="1" applyBorder="1" applyAlignment="1">
      <alignment vertical="center" indent="1"/>
    </xf>
    <xf numFmtId="0" fontId="9" fillId="5" borderId="3" xfId="0" applyFont="1" applyFill="1" applyBorder="1" applyAlignment="1">
      <alignment vertical="center" wrapText="1" indent="1"/>
    </xf>
    <xf numFmtId="0" fontId="4" fillId="0" borderId="0" xfId="0" applyFont="1" applyAlignment="1">
      <alignment vertical="top" wrapText="1"/>
    </xf>
    <xf numFmtId="0" fontId="2" fillId="2" borderId="0" xfId="0" applyFont="1" applyFill="1" applyAlignment="1">
      <alignment vertical="top"/>
    </xf>
    <xf numFmtId="0" fontId="18" fillId="0" borderId="0" xfId="0" applyFont="1" applyAlignment="1">
      <alignment horizontal="right"/>
    </xf>
    <xf numFmtId="0" fontId="9" fillId="0" borderId="0" xfId="0" applyFont="1" applyAlignment="1">
      <alignment vertical="center" wrapText="1"/>
    </xf>
    <xf numFmtId="0" fontId="16" fillId="2" borderId="0" xfId="0" applyFont="1" applyFill="1" applyAlignment="1">
      <alignment vertical="center" wrapText="1" indent="1"/>
    </xf>
    <xf numFmtId="0" fontId="1" fillId="2" borderId="0" xfId="0" applyFont="1" applyFill="1" applyAlignment="1">
      <alignment vertical="center"/>
    </xf>
    <xf numFmtId="0" fontId="14" fillId="10" borderId="1" xfId="0" applyFont="1" applyFill="1" applyBorder="1" applyAlignment="1">
      <alignment horizontal="center" vertical="center"/>
    </xf>
    <xf numFmtId="0" fontId="0" fillId="10" borderId="1" xfId="0" applyFill="1" applyBorder="1"/>
    <xf numFmtId="0" fontId="5" fillId="4" borderId="1" xfId="0" applyFont="1" applyFill="1" applyBorder="1" applyAlignment="1">
      <alignment vertical="center" indent="1"/>
    </xf>
    <xf numFmtId="0" fontId="0" fillId="4" borderId="1" xfId="0" applyFill="1" applyBorder="1"/>
    <xf numFmtId="0" fontId="9" fillId="0" borderId="0" xfId="0" applyFont="1" applyAlignment="1">
      <alignment vertical="top" wrapText="1"/>
    </xf>
    <xf numFmtId="0" fontId="13" fillId="0" borderId="0" xfId="0" applyFont="1" applyAlignment="1">
      <alignment vertical="center"/>
    </xf>
    <xf numFmtId="0" fontId="11" fillId="8" borderId="1" xfId="0" applyFont="1" applyFill="1" applyBorder="1" applyAlignment="1">
      <alignment horizontal="center" vertical="center"/>
    </xf>
    <xf numFmtId="0" fontId="14" fillId="5" borderId="1" xfId="0" applyFont="1" applyFill="1" applyBorder="1" applyAlignment="1">
      <alignment horizontal="center" vertical="center"/>
    </xf>
    <xf numFmtId="0" fontId="0" fillId="5" borderId="1" xfId="0" applyFill="1" applyBorder="1"/>
    <xf numFmtId="0" fontId="15" fillId="2" borderId="0" xfId="0" applyFont="1" applyFill="1" applyAlignment="1">
      <alignment indent="1"/>
    </xf>
    <xf numFmtId="0" fontId="8" fillId="7" borderId="1" xfId="0" applyFont="1" applyFill="1" applyBorder="1" applyAlignment="1">
      <alignment vertical="center" indent="1"/>
    </xf>
    <xf numFmtId="0" fontId="23" fillId="5" borderId="1" xfId="0" applyFont="1" applyFill="1" applyBorder="1" applyAlignment="1">
      <alignment horizontal="center" vertical="center"/>
    </xf>
    <xf numFmtId="0" fontId="18" fillId="0" borderId="0" xfId="0" applyFont="1" applyAlignment="1">
      <alignment vertical="top" wrapText="1"/>
    </xf>
    <xf numFmtId="1" fontId="23" fillId="5" borderId="1" xfId="0" applyNumberFormat="1" applyFont="1" applyFill="1" applyBorder="1" applyAlignment="1">
      <alignment horizontal="center" vertical="center"/>
    </xf>
    <xf numFmtId="1" fontId="22" fillId="5" borderId="1" xfId="0" applyNumberFormat="1" applyFont="1" applyFill="1" applyBorder="1" applyAlignment="1">
      <alignment horizontal="center" vertical="center"/>
    </xf>
    <xf numFmtId="0" fontId="18" fillId="0" borderId="0" xfId="0" applyFont="1" applyAlignment="1">
      <alignment vertical="center"/>
    </xf>
    <xf numFmtId="0" fontId="27" fillId="7" borderId="1" xfId="0" applyFont="1" applyFill="1" applyBorder="1" applyAlignment="1">
      <alignment vertical="center" indent="1"/>
    </xf>
    <xf numFmtId="1" fontId="26" fillId="7" borderId="7" xfId="0" applyNumberFormat="1" applyFont="1" applyFill="1" applyBorder="1" applyAlignment="1">
      <alignment horizontal="center" vertical="center"/>
    </xf>
    <xf numFmtId="0" fontId="0" fillId="7" borderId="7" xfId="0" applyFill="1" applyBorder="1"/>
    <xf numFmtId="0" fontId="9" fillId="7" borderId="1" xfId="0" applyFont="1" applyFill="1" applyBorder="1" applyAlignment="1">
      <alignment vertical="center" wrapText="1" indent="1"/>
    </xf>
    <xf numFmtId="0" fontId="25" fillId="7" borderId="6" xfId="0" applyFont="1" applyFill="1" applyBorder="1" applyAlignment="1">
      <alignment horizontal="center"/>
    </xf>
    <xf numFmtId="0" fontId="0" fillId="7" borderId="6" xfId="0" applyFill="1" applyBorder="1"/>
    <xf numFmtId="0" fontId="8" fillId="4" borderId="1" xfId="0" applyFont="1" applyFill="1" applyBorder="1" applyAlignment="1">
      <alignment vertical="center" indent="1"/>
    </xf>
    <xf numFmtId="0" fontId="29" fillId="2" borderId="0" xfId="0" applyFont="1" applyFill="1" applyAlignment="1">
      <alignment vertical="top" indent="1"/>
    </xf>
    <xf numFmtId="9" fontId="26" fillId="7" borderId="7" xfId="0" applyNumberFormat="1" applyFont="1" applyFill="1" applyBorder="1" applyAlignment="1">
      <alignment horizontal="center" vertical="center"/>
    </xf>
    <xf numFmtId="0" fontId="20" fillId="11" borderId="1" xfId="0" applyFont="1" applyFill="1" applyBorder="1" applyAlignment="1">
      <alignment horizontal="center" vertical="center" wrapText="1"/>
    </xf>
    <xf numFmtId="0" fontId="0" fillId="0" borderId="9" xfId="0" applyBorder="1"/>
    <xf numFmtId="0" fontId="19" fillId="7" borderId="8" xfId="0" applyFont="1" applyFill="1" applyBorder="1" applyAlignment="1">
      <alignment horizontal="center" vertical="top" shrinkToFit="1"/>
    </xf>
    <xf numFmtId="0" fontId="0" fillId="7" borderId="8" xfId="0" applyFill="1" applyBorder="1"/>
    <xf numFmtId="0" fontId="26" fillId="7" borderId="7" xfId="0" applyFont="1" applyFill="1" applyBorder="1" applyAlignment="1">
      <alignment horizontal="center" vertical="center"/>
    </xf>
    <xf numFmtId="0" fontId="28" fillId="2" borderId="0" xfId="0" applyFont="1" applyFill="1" applyAlignment="1">
      <alignment vertical="center" indent="1"/>
    </xf>
    <xf numFmtId="0" fontId="27" fillId="0" borderId="0" xfId="0" applyFont="1" applyAlignment="1">
      <alignment vertical="center" indent="1"/>
    </xf>
    <xf numFmtId="169" fontId="8" fillId="4" borderId="1" xfId="0" applyNumberFormat="1" applyFont="1" applyFill="1" applyBorder="1" applyAlignment="1">
      <alignment horizontal="center" vertical="center"/>
    </xf>
    <xf numFmtId="0" fontId="0" fillId="0" borderId="10" xfId="0" applyBorder="1"/>
    <xf numFmtId="168" fontId="23" fillId="5" borderId="1" xfId="0" applyNumberFormat="1" applyFont="1" applyFill="1" applyBorder="1" applyAlignment="1">
      <alignment horizontal="center" vertical="center"/>
    </xf>
    <xf numFmtId="0" fontId="25" fillId="0" borderId="0" xfId="0" applyFont="1" applyAlignment="1">
      <alignment horizontal="right" vertical="center" indent="1"/>
    </xf>
  </cellXfs>
  <cellStyles count="1">
    <cellStyle name="Normal" xfId="0" builtinId="0"/>
  </cellStyles>
  <dxfs count="51">
    <dxf>
      <fill>
        <patternFill patternType="solid">
          <fgColor rgb="FFF5F7F9"/>
          <bgColor rgb="FFF5F7F9"/>
        </patternFill>
      </fill>
    </dxf>
    <dxf>
      <fill>
        <patternFill patternType="solid">
          <fgColor rgb="FFFBF4E2"/>
          <bgColor rgb="FFFBF4E2"/>
        </patternFill>
      </fill>
    </dxf>
    <dxf>
      <font>
        <color rgb="FF14B8A6"/>
      </font>
      <fill>
        <patternFill patternType="solid">
          <fgColor rgb="FF14B8A6"/>
          <bgColor rgb="FF14B8A6"/>
        </patternFill>
      </fill>
    </dxf>
    <dxf>
      <font>
        <b/>
        <color rgb="FF1A2E40"/>
      </font>
      <fill>
        <patternFill patternType="solid">
          <fgColor rgb="FFC8A24A"/>
          <bgColor rgb="FFC8A24A"/>
        </patternFill>
      </fill>
    </dxf>
    <dxf>
      <fill>
        <patternFill patternType="solid">
          <fgColor rgb="FFF2F5F8"/>
          <bgColor rgb="FFF2F5F8"/>
        </patternFill>
      </fill>
    </dxf>
    <dxf>
      <fill>
        <patternFill patternType="solid">
          <fgColor rgb="FFE3E9EF"/>
          <bgColor rgb="FFE3E9EF"/>
        </patternFill>
      </fill>
    </dxf>
    <dxf>
      <font>
        <b/>
        <color rgb="FFA12B2B"/>
      </font>
      <fill>
        <patternFill patternType="solid">
          <fgColor rgb="FFF8D4D4"/>
          <bgColor rgb="FFF8D4D4"/>
        </patternFill>
      </fill>
    </dxf>
    <dxf>
      <font>
        <b/>
        <color rgb="FFA12B2B"/>
      </font>
      <fill>
        <patternFill patternType="solid">
          <fgColor rgb="FFF8D4D4"/>
          <bgColor rgb="FFF8D4D4"/>
        </patternFill>
      </fill>
    </dxf>
    <dxf>
      <font>
        <b/>
        <color rgb="FF8A5A00"/>
      </font>
      <fill>
        <patternFill patternType="solid">
          <fgColor rgb="FFFCEBC4"/>
          <bgColor rgb="FFFCEBC4"/>
        </patternFill>
      </fill>
    </dxf>
    <dxf>
      <font>
        <b/>
        <color rgb="FF1E7B4B"/>
      </font>
      <fill>
        <patternFill patternType="solid">
          <fgColor rgb="FFD8F0E2"/>
          <bgColor rgb="FFD8F0E2"/>
        </patternFill>
      </fill>
    </dxf>
    <dxf>
      <font>
        <b/>
        <color rgb="FF1E7B4B"/>
      </font>
    </dxf>
    <dxf>
      <font>
        <b/>
        <color rgb="FF8A5A00"/>
      </font>
    </dxf>
    <dxf>
      <font>
        <b/>
        <color rgb="FFA12B2B"/>
      </font>
    </dxf>
    <dxf>
      <font>
        <b/>
        <color rgb="FFA12B2B"/>
      </font>
    </dxf>
    <dxf>
      <font>
        <b/>
        <color rgb="FFA12B2B"/>
      </font>
      <fill>
        <patternFill patternType="solid">
          <fgColor rgb="FFF8D4D4"/>
          <bgColor rgb="FFF8D4D4"/>
        </patternFill>
      </fill>
    </dxf>
    <dxf>
      <font>
        <b/>
        <color rgb="FF8A5A00"/>
      </font>
      <fill>
        <patternFill patternType="solid">
          <fgColor rgb="FFFCEBC4"/>
          <bgColor rgb="FFFCEBC4"/>
        </patternFill>
      </fill>
    </dxf>
    <dxf>
      <font>
        <b/>
        <color rgb="FF1E7B4B"/>
      </font>
      <fill>
        <patternFill patternType="solid">
          <fgColor rgb="FFD8F0E2"/>
          <bgColor rgb="FFD8F0E2"/>
        </patternFill>
      </fill>
    </dxf>
    <dxf>
      <font>
        <b/>
        <color rgb="FFA12B2B"/>
      </font>
    </dxf>
    <dxf>
      <font>
        <b/>
        <color rgb="FF8A5A00"/>
      </font>
    </dxf>
    <dxf>
      <font>
        <b/>
        <color rgb="FF1E7B4B"/>
      </font>
    </dxf>
    <dxf>
      <font>
        <b/>
        <color rgb="FF1E7B4B"/>
      </font>
    </dxf>
    <dxf>
      <font>
        <b/>
        <color rgb="FF8A5A00"/>
      </font>
      <fill>
        <patternFill patternType="solid">
          <fgColor rgb="FFFCEBC4"/>
          <bgColor rgb="FFFCEBC4"/>
        </patternFill>
      </fill>
    </dxf>
    <dxf>
      <font>
        <b/>
        <color rgb="FFA12B2B"/>
      </font>
      <fill>
        <patternFill patternType="solid">
          <fgColor rgb="FFF8D4D4"/>
          <bgColor rgb="FFF8D4D4"/>
        </patternFill>
      </fill>
    </dxf>
    <dxf>
      <font>
        <b/>
        <color rgb="FFA12B2B"/>
      </font>
      <fill>
        <patternFill patternType="solid">
          <fgColor rgb="FFF8D4D4"/>
          <bgColor rgb="FFF8D4D4"/>
        </patternFill>
      </fill>
    </dxf>
    <dxf>
      <font>
        <b/>
        <color rgb="FF8A5A00"/>
      </font>
      <fill>
        <patternFill patternType="solid">
          <fgColor rgb="FFFCEBC4"/>
          <bgColor rgb="FFFCEBC4"/>
        </patternFill>
      </fill>
    </dxf>
    <dxf>
      <font>
        <b/>
        <color rgb="FF1E7B4B"/>
      </font>
      <fill>
        <patternFill patternType="solid">
          <fgColor rgb="FFD8F0E2"/>
          <bgColor rgb="FFD8F0E2"/>
        </patternFill>
      </fill>
    </dxf>
    <dxf>
      <font>
        <b/>
        <color rgb="FF1E7B4B"/>
      </font>
      <fill>
        <patternFill patternType="solid">
          <fgColor rgb="FFD8F0E2"/>
          <bgColor rgb="FFD8F0E2"/>
        </patternFill>
      </fill>
    </dxf>
    <dxf>
      <font>
        <b/>
        <color rgb="FFA12B2B"/>
      </font>
    </dxf>
    <dxf>
      <font>
        <b/>
        <color rgb="FFA12B2B"/>
      </font>
      <fill>
        <patternFill patternType="solid">
          <fgColor rgb="FFF8D4D4"/>
          <bgColor rgb="FFF8D4D4"/>
        </patternFill>
      </fill>
    </dxf>
    <dxf>
      <font>
        <b/>
        <color rgb="FFA12B2B"/>
      </font>
    </dxf>
    <dxf>
      <font>
        <b/>
        <color rgb="FF1E7B4B"/>
      </font>
      <fill>
        <patternFill patternType="solid">
          <fgColor rgb="FFD8F0E2"/>
          <bgColor rgb="FFD8F0E2"/>
        </patternFill>
      </fill>
    </dxf>
    <dxf>
      <font>
        <b/>
        <color rgb="FF8A5A00"/>
      </font>
      <fill>
        <patternFill patternType="solid">
          <fgColor rgb="FFFCEBC4"/>
          <bgColor rgb="FFFCEBC4"/>
        </patternFill>
      </fill>
    </dxf>
    <dxf>
      <font>
        <b/>
        <color rgb="FFA12B2B"/>
      </font>
      <fill>
        <patternFill patternType="solid">
          <fgColor rgb="FFF8D4D4"/>
          <bgColor rgb="FFF8D4D4"/>
        </patternFill>
      </fill>
    </dxf>
    <dxf>
      <font>
        <b/>
        <color rgb="FFA12B2B"/>
      </font>
      <fill>
        <patternFill patternType="solid">
          <fgColor rgb="FFF8D4D4"/>
          <bgColor rgb="FFF8D4D4"/>
        </patternFill>
      </fill>
    </dxf>
    <dxf>
      <font>
        <color rgb="FF9AA5B1"/>
      </font>
    </dxf>
    <dxf>
      <font>
        <b/>
        <color rgb="FFA12B2B"/>
      </font>
      <fill>
        <patternFill patternType="solid">
          <fgColor rgb="FFF8D4D4"/>
          <bgColor rgb="FFF8D4D4"/>
        </patternFill>
      </fill>
    </dxf>
    <dxf>
      <font>
        <b/>
        <color rgb="FF8A5A00"/>
      </font>
      <fill>
        <patternFill patternType="solid">
          <fgColor rgb="FFFCEBC4"/>
          <bgColor rgb="FFFCEBC4"/>
        </patternFill>
      </fill>
    </dxf>
    <dxf>
      <font>
        <b/>
        <color rgb="FF1E7B4B"/>
      </font>
      <fill>
        <patternFill patternType="solid">
          <fgColor rgb="FFD8F0E2"/>
          <bgColor rgb="FFD8F0E2"/>
        </patternFill>
      </fill>
    </dxf>
    <dxf>
      <font>
        <b/>
        <color rgb="FFA12B2B"/>
      </font>
    </dxf>
    <dxf>
      <font>
        <b/>
        <color rgb="FF8A5A00"/>
      </font>
    </dxf>
    <dxf>
      <font>
        <b/>
        <color rgb="FF1E7B4B"/>
      </font>
    </dxf>
    <dxf>
      <font>
        <b/>
        <color rgb="FFA12B2B"/>
      </font>
      <fill>
        <patternFill patternType="solid">
          <fgColor rgb="FFF8D4D4"/>
          <bgColor rgb="FFF8D4D4"/>
        </patternFill>
      </fill>
    </dxf>
    <dxf>
      <font>
        <b/>
        <color rgb="FF8A5A00"/>
      </font>
      <fill>
        <patternFill patternType="solid">
          <fgColor rgb="FFFCEBC4"/>
          <bgColor rgb="FFFCEBC4"/>
        </patternFill>
      </fill>
    </dxf>
    <dxf>
      <font>
        <b/>
        <color rgb="FF1E7B4B"/>
      </font>
      <fill>
        <patternFill patternType="solid">
          <fgColor rgb="FFD8F0E2"/>
          <bgColor rgb="FFD8F0E2"/>
        </patternFill>
      </fill>
    </dxf>
    <dxf>
      <font>
        <b/>
        <color rgb="FF1E7B4B"/>
      </font>
      <fill>
        <patternFill patternType="solid">
          <fgColor rgb="FFD8F0E2"/>
          <bgColor rgb="FFD8F0E2"/>
        </patternFill>
      </fill>
    </dxf>
    <dxf>
      <font>
        <b/>
        <color rgb="FF8A5A00"/>
      </font>
      <fill>
        <patternFill patternType="solid">
          <fgColor rgb="FFFCEBC4"/>
          <bgColor rgb="FFFCEBC4"/>
        </patternFill>
      </fill>
    </dxf>
    <dxf>
      <font>
        <b/>
        <color rgb="FFA12B2B"/>
      </font>
      <fill>
        <patternFill patternType="solid">
          <fgColor rgb="FFF8D4D4"/>
          <bgColor rgb="FFF8D4D4"/>
        </patternFill>
      </fill>
    </dxf>
    <dxf>
      <font>
        <b/>
        <color rgb="FFA12B2B"/>
      </font>
    </dxf>
    <dxf>
      <font>
        <b/>
        <color rgb="FFA12B2B"/>
      </font>
      <fill>
        <patternFill patternType="solid">
          <fgColor rgb="FFF8D4D4"/>
          <bgColor rgb="FFF8D4D4"/>
        </patternFill>
      </fill>
    </dxf>
    <dxf>
      <font>
        <b/>
        <color rgb="FF8A5A00"/>
      </font>
      <fill>
        <patternFill patternType="solid">
          <fgColor rgb="FFFCEBC4"/>
          <bgColor rgb="FFFCEBC4"/>
        </patternFill>
      </fill>
    </dxf>
    <dxf>
      <font>
        <b/>
        <color rgb="FF1E7B4B"/>
      </font>
      <fill>
        <patternFill patternType="solid">
          <fgColor rgb="FFD8F0E2"/>
          <bgColor rgb="FFD8F0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autoTitleDeleted val="1"/>
    <c:plotArea>
      <c:layout/>
      <c:barChart>
        <c:barDir val="bar"/>
        <c:grouping val="clustered"/>
        <c:varyColors val="1"/>
        <c:ser>
          <c:idx val="0"/>
          <c:order val="0"/>
          <c:spPr>
            <a:solidFill>
              <a:srgbClr val="1A2E40"/>
            </a:solidFill>
            <a:ln>
              <a:noFill/>
              <a:prstDash val="solid"/>
            </a:ln>
          </c:spPr>
          <c:invertIfNegative val="1"/>
          <c:dLbls>
            <c:spPr>
              <a:noFill/>
              <a:ln>
                <a:noFill/>
              </a:ln>
              <a:effectLst/>
            </c:spPr>
            <c:txPr>
              <a:bodyPr/>
              <a:lstStyle/>
              <a:p>
                <a:pPr>
                  <a:defRPr sz="1000">
                    <a:solidFill>
                      <a:srgbClr val="1F2933"/>
                    </a:solidFill>
                  </a:defRPr>
                </a:pPr>
                <a:endParaRPr lang="en-US"/>
              </a:p>
            </c:txPr>
            <c:dLblPos val="outEnd"/>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'04_RAID_LITE'!$B$26:$B$29</c:f>
              <c:strCache>
                <c:ptCount val="4"/>
                <c:pt idx="0">
                  <c:v>Risks</c:v>
                </c:pt>
                <c:pt idx="1">
                  <c:v>Assumptions</c:v>
                </c:pt>
                <c:pt idx="2">
                  <c:v>Issues</c:v>
                </c:pt>
                <c:pt idx="3">
                  <c:v>Dependencies</c:v>
                </c:pt>
              </c:strCache>
            </c:strRef>
          </c:cat>
          <c:val>
            <c:numRef>
              <c:f>'04_RAID_LITE'!$E$26:$E$29</c:f>
              <c:numCache>
                <c:formatCode>0</c:formatCode>
                <c:ptCount val="4"/>
                <c:pt idx="0">
                  <c:v>1</c:v>
                </c:pt>
                <c:pt idx="1">
                  <c:v>1</c:v>
                </c:pt>
                <c:pt idx="2">
                  <c:v>1</c:v>
                </c:pt>
                <c:pt idx="3">
                  <c:v>1</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5C33-486C-8623-FA791BF5F952}"/>
            </c:ext>
          </c:extLst>
        </c:ser>
        <c:dLbls>
          <c:showLegendKey val="0"/>
          <c:showVal val="0"/>
          <c:showCatName val="0"/>
          <c:showSerName val="0"/>
          <c:showPercent val="0"/>
          <c:showBubbleSize val="0"/>
        </c:dLbls>
        <c:gapWidth val="60"/>
        <c:axId val="10"/>
        <c:axId val="100"/>
      </c:barChart>
      <c:catAx>
        <c:axId val="10"/>
        <c:scaling>
          <c:orientation val="maxMin"/>
        </c:scaling>
        <c:delete val="0"/>
        <c:axPos val="l"/>
        <c:numFmt formatCode="General" sourceLinked="1"/>
        <c:majorTickMark val="none"/>
        <c:minorTickMark val="none"/>
        <c:tickLblPos val="nextTo"/>
        <c:spPr>
          <a:ln>
            <a:solidFill>
              <a:srgbClr val="C9D1D9"/>
            </a:solidFill>
            <a:prstDash val="solid"/>
          </a:ln>
        </c:spPr>
        <c:txPr>
          <a:bodyPr/>
          <a:lstStyle/>
          <a:p>
            <a:pPr>
              <a:defRPr sz="900">
                <a:solidFill>
                  <a:srgbClr val="5F6B7A"/>
                </a:solidFill>
              </a:defRPr>
            </a:pPr>
            <a:endParaRPr lang="en-US"/>
          </a:p>
        </c:txPr>
        <c:crossAx val="100"/>
        <c:crosses val="autoZero"/>
        <c:auto val="1"/>
        <c:lblAlgn val="ctr"/>
        <c:lblOffset val="100"/>
        <c:noMultiLvlLbl val="1"/>
      </c:catAx>
      <c:valAx>
        <c:axId val="100"/>
        <c:scaling>
          <c:orientation val="minMax"/>
        </c:scaling>
        <c:delete val="1"/>
        <c:axPos val="t"/>
        <c:numFmt formatCode="0" sourceLinked="0"/>
        <c:majorTickMark val="none"/>
        <c:minorTickMark val="none"/>
        <c:tickLblPos val="nextTo"/>
        <c:crossAx val="10"/>
        <c:crosses val="autoZero"/>
        <c:crossBetween val="between"/>
        <c:majorUnit val="1"/>
      </c:valAx>
    </c:plotArea>
    <c:plotVisOnly val="0"/>
    <c:dispBlanksAs val="gap"/>
    <c:showDLblsOverMax val="1"/>
  </c:chart>
  <c:spPr>
    <a:noFill/>
    <a:ln>
      <a:no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autoTitleDeleted val="1"/>
    <c:plotArea>
      <c:layout/>
      <c:barChart>
        <c:barDir val="col"/>
        <c:grouping val="clustered"/>
        <c:varyColors val="1"/>
        <c:ser>
          <c:idx val="0"/>
          <c:order val="0"/>
          <c:spPr>
            <a:solidFill>
              <a:srgbClr val="1A2E40"/>
            </a:solidFill>
            <a:ln>
              <a:noFill/>
              <a:prstDash val="solid"/>
            </a:ln>
          </c:spPr>
          <c:invertIfNegative val="1"/>
          <c:dPt>
            <c:idx val="0"/>
            <c:invertIfNegative val="1"/>
            <c:bubble3D val="0"/>
            <c:spPr>
              <a:solidFill>
                <a:srgbClr val="2E9E63"/>
              </a:solidFill>
              <a:ln>
                <a:noFill/>
                <a:prstDash val="solid"/>
              </a:ln>
            </c:spPr>
            <c:extLst>
              <c:ext xmlns:c16="http://schemas.microsoft.com/office/drawing/2014/chart" uri="{C3380CC4-5D6E-409C-BE32-E72D297353CC}">
                <c16:uniqueId val="{00000001-45D0-431E-8EA2-7CCB4E5712CC}"/>
              </c:ext>
            </c:extLst>
          </c:dPt>
          <c:dPt>
            <c:idx val="1"/>
            <c:invertIfNegative val="1"/>
            <c:bubble3D val="0"/>
            <c:spPr>
              <a:solidFill>
                <a:srgbClr val="14B8A6"/>
              </a:solidFill>
              <a:ln>
                <a:noFill/>
                <a:prstDash val="solid"/>
              </a:ln>
            </c:spPr>
            <c:extLst>
              <c:ext xmlns:c16="http://schemas.microsoft.com/office/drawing/2014/chart" uri="{C3380CC4-5D6E-409C-BE32-E72D297353CC}">
                <c16:uniqueId val="{00000003-45D0-431E-8EA2-7CCB4E5712CC}"/>
              </c:ext>
            </c:extLst>
          </c:dPt>
          <c:dPt>
            <c:idx val="2"/>
            <c:invertIfNegative val="1"/>
            <c:bubble3D val="0"/>
            <c:spPr>
              <a:solidFill>
                <a:srgbClr val="E0A526"/>
              </a:solidFill>
              <a:ln>
                <a:noFill/>
                <a:prstDash val="solid"/>
              </a:ln>
            </c:spPr>
            <c:extLst>
              <c:ext xmlns:c16="http://schemas.microsoft.com/office/drawing/2014/chart" uri="{C3380CC4-5D6E-409C-BE32-E72D297353CC}">
                <c16:uniqueId val="{00000005-45D0-431E-8EA2-7CCB4E5712CC}"/>
              </c:ext>
            </c:extLst>
          </c:dPt>
          <c:dPt>
            <c:idx val="3"/>
            <c:invertIfNegative val="1"/>
            <c:bubble3D val="0"/>
            <c:spPr>
              <a:solidFill>
                <a:srgbClr val="C94A4A"/>
              </a:solidFill>
              <a:ln>
                <a:noFill/>
                <a:prstDash val="solid"/>
              </a:ln>
            </c:spPr>
            <c:extLst>
              <c:ext xmlns:c16="http://schemas.microsoft.com/office/drawing/2014/chart" uri="{C3380CC4-5D6E-409C-BE32-E72D297353CC}">
                <c16:uniqueId val="{00000007-45D0-431E-8EA2-7CCB4E5712CC}"/>
              </c:ext>
            </c:extLst>
          </c:dPt>
          <c:dPt>
            <c:idx val="4"/>
            <c:invertIfNegative val="1"/>
            <c:bubble3D val="0"/>
            <c:spPr>
              <a:solidFill>
                <a:srgbClr val="9AA5B1"/>
              </a:solidFill>
              <a:ln>
                <a:noFill/>
                <a:prstDash val="solid"/>
              </a:ln>
            </c:spPr>
            <c:extLst>
              <c:ext xmlns:c16="http://schemas.microsoft.com/office/drawing/2014/chart" uri="{C3380CC4-5D6E-409C-BE32-E72D297353CC}">
                <c16:uniqueId val="{00000009-45D0-431E-8EA2-7CCB4E5712CC}"/>
              </c:ext>
            </c:extLst>
          </c:dPt>
          <c:dLbls>
            <c:spPr>
              <a:noFill/>
              <a:ln>
                <a:noFill/>
              </a:ln>
              <a:effectLst/>
            </c:spPr>
            <c:txPr>
              <a:bodyPr/>
              <a:lstStyle/>
              <a:p>
                <a:pPr>
                  <a:defRPr sz="1000">
                    <a:solidFill>
                      <a:srgbClr val="1F2933"/>
                    </a:solidFill>
                  </a:defRPr>
                </a:pPr>
                <a:endParaRPr lang="en-US"/>
              </a:p>
            </c:txPr>
            <c:dLblPos val="outEnd"/>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'05_MILESTONES'!$B$23:$B$27</c:f>
              <c:strCache>
                <c:ptCount val="5"/>
                <c:pt idx="0">
                  <c:v>Complete</c:v>
                </c:pt>
                <c:pt idx="1">
                  <c:v>On Track</c:v>
                </c:pt>
                <c:pt idx="2">
                  <c:v>At Risk</c:v>
                </c:pt>
                <c:pt idx="3">
                  <c:v>Delayed</c:v>
                </c:pt>
                <c:pt idx="4">
                  <c:v>Not Started</c:v>
                </c:pt>
              </c:strCache>
            </c:strRef>
          </c:cat>
          <c:val>
            <c:numRef>
              <c:f>'05_MILESTONES'!$D$23:$D$27</c:f>
              <c:numCache>
                <c:formatCode>0</c:formatCode>
                <c:ptCount val="5"/>
                <c:pt idx="0">
                  <c:v>2</c:v>
                </c:pt>
                <c:pt idx="1">
                  <c:v>0</c:v>
                </c:pt>
                <c:pt idx="2">
                  <c:v>1</c:v>
                </c:pt>
                <c:pt idx="3">
                  <c:v>1</c:v>
                </c:pt>
                <c:pt idx="4">
                  <c:v>1</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A-45D0-431E-8EA2-7CCB4E5712CC}"/>
            </c:ext>
          </c:extLst>
        </c:ser>
        <c:dLbls>
          <c:showLegendKey val="0"/>
          <c:showVal val="0"/>
          <c:showCatName val="0"/>
          <c:showSerName val="0"/>
          <c:showPercent val="0"/>
          <c:showBubbleSize val="0"/>
        </c:dLbls>
        <c:gapWidth val="50"/>
        <c:axId val="10"/>
        <c:axId val="100"/>
      </c:barChart>
      <c:catAx>
        <c:axId val="10"/>
        <c:scaling>
          <c:orientation val="minMax"/>
        </c:scaling>
        <c:delete val="0"/>
        <c:axPos val="b"/>
        <c:numFmt formatCode="General" sourceLinked="1"/>
        <c:majorTickMark val="none"/>
        <c:minorTickMark val="none"/>
        <c:tickLblPos val="nextTo"/>
        <c:spPr>
          <a:ln>
            <a:solidFill>
              <a:srgbClr val="C9D1D9"/>
            </a:solidFill>
            <a:prstDash val="solid"/>
          </a:ln>
        </c:spPr>
        <c:txPr>
          <a:bodyPr/>
          <a:lstStyle/>
          <a:p>
            <a:pPr>
              <a:defRPr sz="900">
                <a:solidFill>
                  <a:srgbClr val="5F6B7A"/>
                </a:solidFill>
              </a:defRPr>
            </a:pPr>
            <a:endParaRPr lang="en-US"/>
          </a:p>
        </c:txPr>
        <c:crossAx val="100"/>
        <c:crosses val="autoZero"/>
        <c:auto val="1"/>
        <c:lblAlgn val="ctr"/>
        <c:lblOffset val="100"/>
        <c:noMultiLvlLbl val="1"/>
      </c:catAx>
      <c:valAx>
        <c:axId val="100"/>
        <c:scaling>
          <c:orientation val="minMax"/>
        </c:scaling>
        <c:delete val="1"/>
        <c:axPos val="l"/>
        <c:numFmt formatCode="0" sourceLinked="0"/>
        <c:majorTickMark val="none"/>
        <c:minorTickMark val="none"/>
        <c:tickLblPos val="nextTo"/>
        <c:crossAx val="10"/>
        <c:crosses val="autoZero"/>
        <c:crossBetween val="between"/>
        <c:majorUnit val="1"/>
      </c:valAx>
    </c:plotArea>
    <c:plotVisOnly val="0"/>
    <c:dispBlanksAs val="gap"/>
    <c:showDLblsOverMax val="1"/>
  </c:chart>
  <c:spPr>
    <a:noFill/>
    <a:ln>
      <a:no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autoTitleDeleted val="1"/>
    <c:plotArea>
      <c:layout/>
      <c:barChart>
        <c:barDir val="bar"/>
        <c:grouping val="stacked"/>
        <c:varyColors val="1"/>
        <c:ser>
          <c:idx val="0"/>
          <c:order val="0"/>
          <c:spPr>
            <a:solidFill>
              <a:srgbClr val="2E9E63"/>
            </a:solidFill>
            <a:ln>
              <a:noFill/>
              <a:prstDash val="solid"/>
            </a:ln>
          </c:spPr>
          <c:invertIfNegative val="1"/>
          <c:cat>
            <c:strRef>
              <c:f>'06_DASHBOARD'!$P$12:$P$21</c:f>
              <c:strCache>
                <c:ptCount val="10"/>
                <c:pt idx="0">
                  <c:v>Scope</c:v>
                </c:pt>
                <c:pt idx="1">
                  <c:v>Schedule</c:v>
                </c:pt>
                <c:pt idx="2">
                  <c:v>Budget</c:v>
                </c:pt>
                <c:pt idx="3">
                  <c:v>Resources</c:v>
                </c:pt>
                <c:pt idx="4">
                  <c:v>Quality</c:v>
                </c:pt>
                <c:pt idx="5">
                  <c:v>Risks</c:v>
                </c:pt>
                <c:pt idx="6">
                  <c:v>Dependencies</c:v>
                </c:pt>
                <c:pt idx="7">
                  <c:v>Stakeholders</c:v>
                </c:pt>
                <c:pt idx="8">
                  <c:v>Communication</c:v>
                </c:pt>
                <c:pt idx="9">
                  <c:v>Delivery Readiness</c:v>
                </c:pt>
              </c:strCache>
            </c:strRef>
          </c:cat>
          <c:val>
            <c:numRef>
              <c:f>'06_DASHBOARD'!$Q$12:$Q$21</c:f>
              <c:numCache>
                <c:formatCode>General</c:formatCode>
                <c:ptCount val="10"/>
                <c:pt idx="0">
                  <c:v>0</c:v>
                </c:pt>
                <c:pt idx="1">
                  <c:v>0</c:v>
                </c:pt>
                <c:pt idx="2">
                  <c:v>0</c:v>
                </c:pt>
                <c:pt idx="3">
                  <c:v>90</c:v>
                </c:pt>
                <c:pt idx="4">
                  <c:v>90</c:v>
                </c:pt>
                <c:pt idx="5">
                  <c:v>0</c:v>
                </c:pt>
                <c:pt idx="6">
                  <c:v>90</c:v>
                </c:pt>
                <c:pt idx="7">
                  <c:v>90</c:v>
                </c:pt>
                <c:pt idx="8">
                  <c:v>0</c:v>
                </c:pt>
                <c:pt idx="9">
                  <c:v>0</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FCF5-49BB-82A1-E55EA02C1036}"/>
            </c:ext>
          </c:extLst>
        </c:ser>
        <c:ser>
          <c:idx val="1"/>
          <c:order val="1"/>
          <c:spPr>
            <a:solidFill>
              <a:srgbClr val="E0A526"/>
            </a:solidFill>
            <a:ln>
              <a:noFill/>
              <a:prstDash val="solid"/>
            </a:ln>
          </c:spPr>
          <c:invertIfNegative val="1"/>
          <c:cat>
            <c:strRef>
              <c:f>'06_DASHBOARD'!$P$12:$P$21</c:f>
              <c:strCache>
                <c:ptCount val="10"/>
                <c:pt idx="0">
                  <c:v>Scope</c:v>
                </c:pt>
                <c:pt idx="1">
                  <c:v>Schedule</c:v>
                </c:pt>
                <c:pt idx="2">
                  <c:v>Budget</c:v>
                </c:pt>
                <c:pt idx="3">
                  <c:v>Resources</c:v>
                </c:pt>
                <c:pt idx="4">
                  <c:v>Quality</c:v>
                </c:pt>
                <c:pt idx="5">
                  <c:v>Risks</c:v>
                </c:pt>
                <c:pt idx="6">
                  <c:v>Dependencies</c:v>
                </c:pt>
                <c:pt idx="7">
                  <c:v>Stakeholders</c:v>
                </c:pt>
                <c:pt idx="8">
                  <c:v>Communication</c:v>
                </c:pt>
                <c:pt idx="9">
                  <c:v>Delivery Readiness</c:v>
                </c:pt>
              </c:strCache>
            </c:strRef>
          </c:cat>
          <c:val>
            <c:numRef>
              <c:f>'06_DASHBOARD'!$R$12:$R$21</c:f>
              <c:numCache>
                <c:formatCode>General</c:formatCode>
                <c:ptCount val="10"/>
                <c:pt idx="0">
                  <c:v>65</c:v>
                </c:pt>
                <c:pt idx="1">
                  <c:v>0</c:v>
                </c:pt>
                <c:pt idx="2">
                  <c:v>65</c:v>
                </c:pt>
                <c:pt idx="3">
                  <c:v>0</c:v>
                </c:pt>
                <c:pt idx="4">
                  <c:v>0</c:v>
                </c:pt>
                <c:pt idx="5">
                  <c:v>65</c:v>
                </c:pt>
                <c:pt idx="6">
                  <c:v>0</c:v>
                </c:pt>
                <c:pt idx="7">
                  <c:v>0</c:v>
                </c:pt>
                <c:pt idx="8">
                  <c:v>65</c:v>
                </c:pt>
                <c:pt idx="9">
                  <c:v>65</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1-FCF5-49BB-82A1-E55EA02C1036}"/>
            </c:ext>
          </c:extLst>
        </c:ser>
        <c:ser>
          <c:idx val="2"/>
          <c:order val="2"/>
          <c:spPr>
            <a:solidFill>
              <a:srgbClr val="C94A4A"/>
            </a:solidFill>
            <a:ln>
              <a:noFill/>
              <a:prstDash val="solid"/>
            </a:ln>
          </c:spPr>
          <c:invertIfNegative val="1"/>
          <c:cat>
            <c:strRef>
              <c:f>'06_DASHBOARD'!$P$12:$P$21</c:f>
              <c:strCache>
                <c:ptCount val="10"/>
                <c:pt idx="0">
                  <c:v>Scope</c:v>
                </c:pt>
                <c:pt idx="1">
                  <c:v>Schedule</c:v>
                </c:pt>
                <c:pt idx="2">
                  <c:v>Budget</c:v>
                </c:pt>
                <c:pt idx="3">
                  <c:v>Resources</c:v>
                </c:pt>
                <c:pt idx="4">
                  <c:v>Quality</c:v>
                </c:pt>
                <c:pt idx="5">
                  <c:v>Risks</c:v>
                </c:pt>
                <c:pt idx="6">
                  <c:v>Dependencies</c:v>
                </c:pt>
                <c:pt idx="7">
                  <c:v>Stakeholders</c:v>
                </c:pt>
                <c:pt idx="8">
                  <c:v>Communication</c:v>
                </c:pt>
                <c:pt idx="9">
                  <c:v>Delivery Readiness</c:v>
                </c:pt>
              </c:strCache>
            </c:strRef>
          </c:cat>
          <c:val>
            <c:numRef>
              <c:f>'06_DASHBOARD'!$S$12:$S$21</c:f>
              <c:numCache>
                <c:formatCode>General</c:formatCode>
                <c:ptCount val="10"/>
                <c:pt idx="0">
                  <c:v>0</c:v>
                </c:pt>
                <c:pt idx="1">
                  <c:v>25</c:v>
                </c:pt>
                <c:pt idx="2">
                  <c:v>0</c:v>
                </c:pt>
                <c:pt idx="3">
                  <c:v>0</c:v>
                </c:pt>
                <c:pt idx="4">
                  <c:v>0</c:v>
                </c:pt>
                <c:pt idx="5">
                  <c:v>0</c:v>
                </c:pt>
                <c:pt idx="6">
                  <c:v>0</c:v>
                </c:pt>
                <c:pt idx="7">
                  <c:v>0</c:v>
                </c:pt>
                <c:pt idx="8">
                  <c:v>0</c:v>
                </c:pt>
                <c:pt idx="9">
                  <c:v>0</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2-FCF5-49BB-82A1-E55EA02C1036}"/>
            </c:ext>
          </c:extLst>
        </c:ser>
        <c:dLbls>
          <c:showLegendKey val="0"/>
          <c:showVal val="0"/>
          <c:showCatName val="0"/>
          <c:showSerName val="0"/>
          <c:showPercent val="0"/>
          <c:showBubbleSize val="0"/>
        </c:dLbls>
        <c:gapWidth val="45"/>
        <c:overlap val="100"/>
        <c:axId val="10"/>
        <c:axId val="100"/>
      </c:barChart>
      <c:catAx>
        <c:axId val="10"/>
        <c:scaling>
          <c:orientation val="maxMin"/>
        </c:scaling>
        <c:delete val="0"/>
        <c:axPos val="l"/>
        <c:numFmt formatCode="General" sourceLinked="1"/>
        <c:majorTickMark val="none"/>
        <c:minorTickMark val="none"/>
        <c:tickLblPos val="nextTo"/>
        <c:spPr>
          <a:ln>
            <a:solidFill>
              <a:srgbClr val="C9D1D9"/>
            </a:solidFill>
            <a:prstDash val="solid"/>
          </a:ln>
        </c:spPr>
        <c:txPr>
          <a:bodyPr/>
          <a:lstStyle/>
          <a:p>
            <a:pPr>
              <a:defRPr sz="900">
                <a:solidFill>
                  <a:srgbClr val="5F6B7A"/>
                </a:solidFill>
              </a:defRPr>
            </a:pPr>
            <a:endParaRPr lang="en-US"/>
          </a:p>
        </c:txPr>
        <c:crossAx val="100"/>
        <c:crosses val="autoZero"/>
        <c:auto val="1"/>
        <c:lblAlgn val="ctr"/>
        <c:lblOffset val="100"/>
        <c:noMultiLvlLbl val="1"/>
      </c:catAx>
      <c:valAx>
        <c:axId val="100"/>
        <c:scaling>
          <c:orientation val="minMax"/>
          <c:max val="100"/>
          <c:min val="0"/>
        </c:scaling>
        <c:delete val="0"/>
        <c:axPos val="b"/>
        <c:majorGridlines>
          <c:spPr>
            <a:ln>
              <a:solidFill>
                <a:srgbClr val="E6EAEE"/>
              </a:solidFill>
              <a:prstDash val="solid"/>
            </a:ln>
          </c:spPr>
        </c:majorGridlines>
        <c:numFmt formatCode="General" sourceLinked="1"/>
        <c:majorTickMark val="none"/>
        <c:minorTickMark val="none"/>
        <c:tickLblPos val="nextTo"/>
        <c:spPr>
          <a:ln>
            <a:solidFill>
              <a:srgbClr val="C9D1D9"/>
            </a:solidFill>
            <a:prstDash val="solid"/>
          </a:ln>
        </c:spPr>
        <c:txPr>
          <a:bodyPr/>
          <a:lstStyle/>
          <a:p>
            <a:pPr>
              <a:defRPr sz="900">
                <a:solidFill>
                  <a:srgbClr val="5F6B7A"/>
                </a:solidFill>
              </a:defRPr>
            </a:pPr>
            <a:endParaRPr lang="en-US"/>
          </a:p>
        </c:txPr>
        <c:crossAx val="10"/>
        <c:crosses val="max"/>
        <c:crossBetween val="between"/>
        <c:majorUnit val="25"/>
      </c:valAx>
    </c:plotArea>
    <c:plotVisOnly val="0"/>
    <c:dispBlanksAs val="gap"/>
    <c:showDLblsOverMax val="1"/>
  </c:chart>
  <c:spPr>
    <a:noFill/>
    <a:ln>
      <a:no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autoTitleDeleted val="1"/>
    <c:plotArea>
      <c:layout/>
      <c:pieChart>
        <c:varyColors val="1"/>
        <c:ser>
          <c:idx val="0"/>
          <c:order val="0"/>
          <c:spPr>
            <a:ln>
              <a:prstDash val="solid"/>
            </a:ln>
          </c:spPr>
          <c:dPt>
            <c:idx val="0"/>
            <c:bubble3D val="0"/>
            <c:spPr>
              <a:solidFill>
                <a:srgbClr val="2E9E63"/>
              </a:solidFill>
              <a:ln w="19050">
                <a:solidFill>
                  <a:srgbClr val="FFFFFF"/>
                </a:solidFill>
                <a:prstDash val="solid"/>
              </a:ln>
            </c:spPr>
            <c:extLst>
              <c:ext xmlns:c16="http://schemas.microsoft.com/office/drawing/2014/chart" uri="{C3380CC4-5D6E-409C-BE32-E72D297353CC}">
                <c16:uniqueId val="{00000001-5166-4A21-8B3E-E909D1DB7551}"/>
              </c:ext>
            </c:extLst>
          </c:dPt>
          <c:dPt>
            <c:idx val="1"/>
            <c:bubble3D val="0"/>
            <c:spPr>
              <a:solidFill>
                <a:srgbClr val="E0A526"/>
              </a:solidFill>
              <a:ln w="19050">
                <a:solidFill>
                  <a:srgbClr val="FFFFFF"/>
                </a:solidFill>
                <a:prstDash val="solid"/>
              </a:ln>
            </c:spPr>
            <c:extLst>
              <c:ext xmlns:c16="http://schemas.microsoft.com/office/drawing/2014/chart" uri="{C3380CC4-5D6E-409C-BE32-E72D297353CC}">
                <c16:uniqueId val="{00000003-5166-4A21-8B3E-E909D1DB7551}"/>
              </c:ext>
            </c:extLst>
          </c:dPt>
          <c:dPt>
            <c:idx val="2"/>
            <c:bubble3D val="0"/>
            <c:spPr>
              <a:solidFill>
                <a:srgbClr val="C94A4A"/>
              </a:solidFill>
              <a:ln w="19050">
                <a:solidFill>
                  <a:srgbClr val="FFFFFF"/>
                </a:solidFill>
                <a:prstDash val="solid"/>
              </a:ln>
            </c:spPr>
            <c:extLst>
              <c:ext xmlns:c16="http://schemas.microsoft.com/office/drawing/2014/chart" uri="{C3380CC4-5D6E-409C-BE32-E72D297353CC}">
                <c16:uniqueId val="{00000005-5166-4A21-8B3E-E909D1DB7551}"/>
              </c:ext>
            </c:extLst>
          </c:dPt>
          <c:dLbls>
            <c:spPr>
              <a:noFill/>
              <a:ln>
                <a:noFill/>
              </a:ln>
              <a:effectLst/>
            </c:spPr>
            <c:txPr>
              <a:bodyPr/>
              <a:lstStyle/>
              <a:p>
                <a:pPr>
                  <a:defRPr sz="1100">
                    <a:solidFill>
                      <a:srgbClr val="FFFFFF"/>
                    </a:solidFill>
                  </a:defRPr>
                </a:pPr>
                <a:endParaRPr lang="en-US"/>
              </a:p>
            </c:txPr>
            <c:dLblPos val="ctr"/>
            <c:showLegendKey val="0"/>
            <c:showVal val="1"/>
            <c:showCatName val="0"/>
            <c:showSerName val="0"/>
            <c:showPercent val="0"/>
            <c:showBubbleSize val="1"/>
            <c:showLeaderLines val="1"/>
            <c:extLst>
              <c:ext xmlns:c15="http://schemas.microsoft.com/office/drawing/2012/chart" uri="{CE6537A1-D6FC-4f65-9D91-7224C49458BB}"/>
            </c:extLst>
          </c:dLbls>
          <c:cat>
            <c:strRef>
              <c:f>'06_DASHBOARD'!$P$23:$P$25</c:f>
              <c:strCache>
                <c:ptCount val="3"/>
                <c:pt idx="0">
                  <c:v>Green</c:v>
                </c:pt>
                <c:pt idx="1">
                  <c:v>Amber</c:v>
                </c:pt>
                <c:pt idx="2">
                  <c:v>Red</c:v>
                </c:pt>
              </c:strCache>
            </c:strRef>
          </c:cat>
          <c:val>
            <c:numRef>
              <c:f>'06_DASHBOARD'!$Q$23:$Q$25</c:f>
              <c:numCache>
                <c:formatCode>General</c:formatCode>
                <c:ptCount val="3"/>
                <c:pt idx="0">
                  <c:v>4</c:v>
                </c:pt>
                <c:pt idx="1">
                  <c:v>5</c:v>
                </c:pt>
                <c:pt idx="2">
                  <c:v>1</c:v>
                </c:pt>
              </c:numCache>
            </c:numRef>
          </c:val>
          <c:extLst>
            <c:ext xmlns:c16="http://schemas.microsoft.com/office/drawing/2014/chart" uri="{C3380CC4-5D6E-409C-BE32-E72D297353CC}">
              <c16:uniqueId val="{00000006-5166-4A21-8B3E-E909D1DB7551}"/>
            </c:ext>
          </c:extLst>
        </c:ser>
        <c:dLbls>
          <c:showLegendKey val="0"/>
          <c:showVal val="0"/>
          <c:showCatName val="0"/>
          <c:showSerName val="0"/>
          <c:showPercent val="0"/>
          <c:showBubbleSize val="0"/>
          <c:showLeaderLines val="1"/>
        </c:dLbls>
        <c:firstSliceAng val="0"/>
      </c:pieChart>
    </c:plotArea>
    <c:legend>
      <c:legendPos val="r"/>
      <c:overlay val="1"/>
      <c:txPr>
        <a:bodyPr/>
        <a:lstStyle/>
        <a:p>
          <a:pPr>
            <a:defRPr sz="1000">
              <a:solidFill>
                <a:srgbClr val="1F2933"/>
              </a:solidFill>
            </a:defRPr>
          </a:pPr>
          <a:endParaRPr lang="en-US"/>
        </a:p>
      </c:txPr>
    </c:legend>
    <c:plotVisOnly val="0"/>
    <c:dispBlanksAs val="gap"/>
    <c:showDLblsOverMax val="1"/>
  </c:chart>
  <c:spPr>
    <a:noFill/>
    <a:ln>
      <a:no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autoTitleDeleted val="1"/>
    <c:plotArea>
      <c:layout/>
      <c:barChart>
        <c:barDir val="col"/>
        <c:grouping val="clustered"/>
        <c:varyColors val="1"/>
        <c:ser>
          <c:idx val="0"/>
          <c:order val="0"/>
          <c:spPr>
            <a:solidFill>
              <a:srgbClr val="1A2E40"/>
            </a:solidFill>
            <a:ln>
              <a:noFill/>
              <a:prstDash val="solid"/>
            </a:ln>
          </c:spPr>
          <c:invertIfNegative val="1"/>
          <c:dPt>
            <c:idx val="0"/>
            <c:invertIfNegative val="1"/>
            <c:bubble3D val="0"/>
            <c:spPr>
              <a:solidFill>
                <a:srgbClr val="2E9E63"/>
              </a:solidFill>
              <a:ln>
                <a:noFill/>
                <a:prstDash val="solid"/>
              </a:ln>
            </c:spPr>
            <c:extLst>
              <c:ext xmlns:c16="http://schemas.microsoft.com/office/drawing/2014/chart" uri="{C3380CC4-5D6E-409C-BE32-E72D297353CC}">
                <c16:uniqueId val="{00000001-7501-412B-B556-DADEC4CD2B0F}"/>
              </c:ext>
            </c:extLst>
          </c:dPt>
          <c:dPt>
            <c:idx val="1"/>
            <c:invertIfNegative val="1"/>
            <c:bubble3D val="0"/>
            <c:spPr>
              <a:solidFill>
                <a:srgbClr val="14B8A6"/>
              </a:solidFill>
              <a:ln>
                <a:noFill/>
                <a:prstDash val="solid"/>
              </a:ln>
            </c:spPr>
            <c:extLst>
              <c:ext xmlns:c16="http://schemas.microsoft.com/office/drawing/2014/chart" uri="{C3380CC4-5D6E-409C-BE32-E72D297353CC}">
                <c16:uniqueId val="{00000003-7501-412B-B556-DADEC4CD2B0F}"/>
              </c:ext>
            </c:extLst>
          </c:dPt>
          <c:dPt>
            <c:idx val="2"/>
            <c:invertIfNegative val="1"/>
            <c:bubble3D val="0"/>
            <c:spPr>
              <a:solidFill>
                <a:srgbClr val="E0A526"/>
              </a:solidFill>
              <a:ln>
                <a:noFill/>
                <a:prstDash val="solid"/>
              </a:ln>
            </c:spPr>
            <c:extLst>
              <c:ext xmlns:c16="http://schemas.microsoft.com/office/drawing/2014/chart" uri="{C3380CC4-5D6E-409C-BE32-E72D297353CC}">
                <c16:uniqueId val="{00000005-7501-412B-B556-DADEC4CD2B0F}"/>
              </c:ext>
            </c:extLst>
          </c:dPt>
          <c:dPt>
            <c:idx val="3"/>
            <c:invertIfNegative val="1"/>
            <c:bubble3D val="0"/>
            <c:spPr>
              <a:solidFill>
                <a:srgbClr val="C94A4A"/>
              </a:solidFill>
              <a:ln>
                <a:noFill/>
                <a:prstDash val="solid"/>
              </a:ln>
            </c:spPr>
            <c:extLst>
              <c:ext xmlns:c16="http://schemas.microsoft.com/office/drawing/2014/chart" uri="{C3380CC4-5D6E-409C-BE32-E72D297353CC}">
                <c16:uniqueId val="{00000007-7501-412B-B556-DADEC4CD2B0F}"/>
              </c:ext>
            </c:extLst>
          </c:dPt>
          <c:dPt>
            <c:idx val="4"/>
            <c:invertIfNegative val="1"/>
            <c:bubble3D val="0"/>
            <c:spPr>
              <a:solidFill>
                <a:srgbClr val="9AA5B1"/>
              </a:solidFill>
              <a:ln>
                <a:noFill/>
                <a:prstDash val="solid"/>
              </a:ln>
            </c:spPr>
            <c:extLst>
              <c:ext xmlns:c16="http://schemas.microsoft.com/office/drawing/2014/chart" uri="{C3380CC4-5D6E-409C-BE32-E72D297353CC}">
                <c16:uniqueId val="{00000009-7501-412B-B556-DADEC4CD2B0F}"/>
              </c:ext>
            </c:extLst>
          </c:dPt>
          <c:dLbls>
            <c:spPr>
              <a:noFill/>
              <a:ln>
                <a:noFill/>
              </a:ln>
              <a:effectLst/>
            </c:spPr>
            <c:txPr>
              <a:bodyPr/>
              <a:lstStyle/>
              <a:p>
                <a:pPr>
                  <a:defRPr sz="1000">
                    <a:solidFill>
                      <a:srgbClr val="1F2933"/>
                    </a:solidFill>
                  </a:defRPr>
                </a:pPr>
                <a:endParaRPr lang="en-US"/>
              </a:p>
            </c:txPr>
            <c:dLblPos val="outEnd"/>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'06_DASHBOARD'!$P$27:$P$31</c:f>
              <c:strCache>
                <c:ptCount val="5"/>
                <c:pt idx="0">
                  <c:v>Complete</c:v>
                </c:pt>
                <c:pt idx="1">
                  <c:v>On Track</c:v>
                </c:pt>
                <c:pt idx="2">
                  <c:v>At Risk</c:v>
                </c:pt>
                <c:pt idx="3">
                  <c:v>Delayed</c:v>
                </c:pt>
                <c:pt idx="4">
                  <c:v>Not Started</c:v>
                </c:pt>
              </c:strCache>
            </c:strRef>
          </c:cat>
          <c:val>
            <c:numRef>
              <c:f>'06_DASHBOARD'!$Q$27:$Q$31</c:f>
              <c:numCache>
                <c:formatCode>General</c:formatCode>
                <c:ptCount val="5"/>
                <c:pt idx="0">
                  <c:v>2</c:v>
                </c:pt>
                <c:pt idx="1">
                  <c:v>0</c:v>
                </c:pt>
                <c:pt idx="2">
                  <c:v>1</c:v>
                </c:pt>
                <c:pt idx="3">
                  <c:v>1</c:v>
                </c:pt>
                <c:pt idx="4">
                  <c:v>1</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A-7501-412B-B556-DADEC4CD2B0F}"/>
            </c:ext>
          </c:extLst>
        </c:ser>
        <c:dLbls>
          <c:showLegendKey val="0"/>
          <c:showVal val="0"/>
          <c:showCatName val="0"/>
          <c:showSerName val="0"/>
          <c:showPercent val="0"/>
          <c:showBubbleSize val="0"/>
        </c:dLbls>
        <c:gapWidth val="50"/>
        <c:axId val="10"/>
        <c:axId val="100"/>
      </c:barChart>
      <c:catAx>
        <c:axId val="10"/>
        <c:scaling>
          <c:orientation val="minMax"/>
        </c:scaling>
        <c:delete val="0"/>
        <c:axPos val="b"/>
        <c:numFmt formatCode="General" sourceLinked="1"/>
        <c:majorTickMark val="none"/>
        <c:minorTickMark val="none"/>
        <c:tickLblPos val="nextTo"/>
        <c:spPr>
          <a:ln>
            <a:solidFill>
              <a:srgbClr val="C9D1D9"/>
            </a:solidFill>
            <a:prstDash val="solid"/>
          </a:ln>
        </c:spPr>
        <c:txPr>
          <a:bodyPr/>
          <a:lstStyle/>
          <a:p>
            <a:pPr>
              <a:defRPr sz="900">
                <a:solidFill>
                  <a:srgbClr val="5F6B7A"/>
                </a:solidFill>
              </a:defRPr>
            </a:pPr>
            <a:endParaRPr lang="en-US"/>
          </a:p>
        </c:txPr>
        <c:crossAx val="100"/>
        <c:crosses val="autoZero"/>
        <c:auto val="1"/>
        <c:lblAlgn val="ctr"/>
        <c:lblOffset val="100"/>
        <c:noMultiLvlLbl val="1"/>
      </c:catAx>
      <c:valAx>
        <c:axId val="100"/>
        <c:scaling>
          <c:orientation val="minMax"/>
        </c:scaling>
        <c:delete val="1"/>
        <c:axPos val="l"/>
        <c:numFmt formatCode="0" sourceLinked="0"/>
        <c:majorTickMark val="none"/>
        <c:minorTickMark val="none"/>
        <c:tickLblPos val="nextTo"/>
        <c:crossAx val="10"/>
        <c:crosses val="autoZero"/>
        <c:crossBetween val="between"/>
        <c:majorUnit val="1"/>
      </c:valAx>
    </c:plotArea>
    <c:plotVisOnly val="0"/>
    <c:dispBlanksAs val="gap"/>
    <c:showDLblsOverMax val="1"/>
  </c:chart>
  <c:spPr>
    <a:noFill/>
    <a:ln>
      <a:noFill/>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autoTitleDeleted val="1"/>
    <c:plotArea>
      <c:layout/>
      <c:barChart>
        <c:barDir val="bar"/>
        <c:grouping val="clustered"/>
        <c:varyColors val="1"/>
        <c:ser>
          <c:idx val="0"/>
          <c:order val="0"/>
          <c:spPr>
            <a:solidFill>
              <a:srgbClr val="2B4A63"/>
            </a:solidFill>
            <a:ln>
              <a:noFill/>
              <a:prstDash val="solid"/>
            </a:ln>
          </c:spPr>
          <c:invertIfNegative val="1"/>
          <c:dLbls>
            <c:spPr>
              <a:noFill/>
              <a:ln>
                <a:noFill/>
              </a:ln>
              <a:effectLst/>
            </c:spPr>
            <c:txPr>
              <a:bodyPr/>
              <a:lstStyle/>
              <a:p>
                <a:pPr>
                  <a:defRPr sz="1000">
                    <a:solidFill>
                      <a:srgbClr val="1F2933"/>
                    </a:solidFill>
                  </a:defRPr>
                </a:pPr>
                <a:endParaRPr lang="en-US"/>
              </a:p>
            </c:txPr>
            <c:dLblPos val="outEnd"/>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'06_DASHBOARD'!$P$33:$P$36</c:f>
              <c:strCache>
                <c:ptCount val="4"/>
                <c:pt idx="0">
                  <c:v>Risks</c:v>
                </c:pt>
                <c:pt idx="1">
                  <c:v>Assumptions</c:v>
                </c:pt>
                <c:pt idx="2">
                  <c:v>Issues</c:v>
                </c:pt>
                <c:pt idx="3">
                  <c:v>Dependencies</c:v>
                </c:pt>
              </c:strCache>
            </c:strRef>
          </c:cat>
          <c:val>
            <c:numRef>
              <c:f>'06_DASHBOARD'!$Q$33:$Q$36</c:f>
              <c:numCache>
                <c:formatCode>General</c:formatCode>
                <c:ptCount val="4"/>
                <c:pt idx="0">
                  <c:v>1</c:v>
                </c:pt>
                <c:pt idx="1">
                  <c:v>1</c:v>
                </c:pt>
                <c:pt idx="2">
                  <c:v>1</c:v>
                </c:pt>
                <c:pt idx="3">
                  <c:v>1</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716A-40E8-B22B-45E486BB2087}"/>
            </c:ext>
          </c:extLst>
        </c:ser>
        <c:dLbls>
          <c:showLegendKey val="0"/>
          <c:showVal val="0"/>
          <c:showCatName val="0"/>
          <c:showSerName val="0"/>
          <c:showPercent val="0"/>
          <c:showBubbleSize val="0"/>
        </c:dLbls>
        <c:gapWidth val="55"/>
        <c:axId val="10"/>
        <c:axId val="100"/>
      </c:barChart>
      <c:catAx>
        <c:axId val="10"/>
        <c:scaling>
          <c:orientation val="maxMin"/>
        </c:scaling>
        <c:delete val="0"/>
        <c:axPos val="l"/>
        <c:numFmt formatCode="General" sourceLinked="1"/>
        <c:majorTickMark val="none"/>
        <c:minorTickMark val="none"/>
        <c:tickLblPos val="nextTo"/>
        <c:spPr>
          <a:ln>
            <a:solidFill>
              <a:srgbClr val="C9D1D9"/>
            </a:solidFill>
            <a:prstDash val="solid"/>
          </a:ln>
        </c:spPr>
        <c:txPr>
          <a:bodyPr/>
          <a:lstStyle/>
          <a:p>
            <a:pPr>
              <a:defRPr sz="900">
                <a:solidFill>
                  <a:srgbClr val="5F6B7A"/>
                </a:solidFill>
              </a:defRPr>
            </a:pPr>
            <a:endParaRPr lang="en-US"/>
          </a:p>
        </c:txPr>
        <c:crossAx val="100"/>
        <c:crosses val="autoZero"/>
        <c:auto val="1"/>
        <c:lblAlgn val="ctr"/>
        <c:lblOffset val="100"/>
        <c:noMultiLvlLbl val="1"/>
      </c:catAx>
      <c:valAx>
        <c:axId val="100"/>
        <c:scaling>
          <c:orientation val="minMax"/>
        </c:scaling>
        <c:delete val="1"/>
        <c:axPos val="t"/>
        <c:numFmt formatCode="0" sourceLinked="0"/>
        <c:majorTickMark val="none"/>
        <c:minorTickMark val="none"/>
        <c:tickLblPos val="nextTo"/>
        <c:crossAx val="10"/>
        <c:crosses val="autoZero"/>
        <c:crossBetween val="between"/>
        <c:majorUnit val="1"/>
      </c:valAx>
    </c:plotArea>
    <c:plotVisOnly val="0"/>
    <c:dispBlanksAs val="gap"/>
    <c:showDLblsOverMax val="1"/>
  </c:chart>
  <c:spPr>
    <a:noFill/>
    <a:ln>
      <a:noFill/>
      <a:prstDash val="soli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autoTitleDeleted val="1"/>
    <c:plotArea>
      <c:layout/>
      <c:lineChart>
        <c:grouping val="standard"/>
        <c:varyColors val="1"/>
        <c:ser>
          <c:idx val="0"/>
          <c:order val="0"/>
          <c:tx>
            <c:strRef>
              <c:f>'07_WEEKLY_SNAPSHOT'!$C$8</c:f>
              <c:strCache>
                <c:ptCount val="1"/>
                <c:pt idx="0">
                  <c:v>Health Score</c:v>
                </c:pt>
              </c:strCache>
            </c:strRef>
          </c:tx>
          <c:spPr>
            <a:ln w="31750">
              <a:solidFill>
                <a:srgbClr val="1A2E40"/>
              </a:solidFill>
              <a:prstDash val="solid"/>
            </a:ln>
          </c:spPr>
          <c:marker>
            <c:symbol val="circle"/>
            <c:size val="7"/>
            <c:spPr>
              <a:solidFill>
                <a:srgbClr val="1A2E40"/>
              </a:solidFill>
              <a:ln>
                <a:solidFill>
                  <a:srgbClr val="1A2E40"/>
                </a:solidFill>
                <a:prstDash val="solid"/>
              </a:ln>
            </c:spPr>
          </c:marker>
          <c:dLbls>
            <c:spPr>
              <a:noFill/>
              <a:ln>
                <a:noFill/>
              </a:ln>
              <a:effectLst/>
            </c:spPr>
            <c:txPr>
              <a:bodyPr/>
              <a:lstStyle/>
              <a:p>
                <a:pPr>
                  <a:defRPr sz="900">
                    <a:solidFill>
                      <a:srgbClr val="1A2E40"/>
                    </a:solidFill>
                  </a:defRPr>
                </a:pPr>
                <a:endParaRPr lang="en-US"/>
              </a:p>
            </c:txPr>
            <c:dLblPos val="t"/>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'07_WEEKLY_SNAPSHOT'!$B$9:$B$12</c:f>
              <c:strCache>
                <c:ptCount val="4"/>
                <c:pt idx="0">
                  <c:v>Week 1</c:v>
                </c:pt>
                <c:pt idx="1">
                  <c:v>Week 2</c:v>
                </c:pt>
                <c:pt idx="2">
                  <c:v>Week 3</c:v>
                </c:pt>
                <c:pt idx="3">
                  <c:v>Week 4</c:v>
                </c:pt>
              </c:strCache>
            </c:strRef>
          </c:cat>
          <c:val>
            <c:numRef>
              <c:f>'07_WEEKLY_SNAPSHOT'!$C$9:$C$12</c:f>
              <c:numCache>
                <c:formatCode>0</c:formatCode>
                <c:ptCount val="4"/>
                <c:pt idx="0">
                  <c:v>78</c:v>
                </c:pt>
                <c:pt idx="1">
                  <c:v>74</c:v>
                </c:pt>
                <c:pt idx="2">
                  <c:v>70</c:v>
                </c:pt>
                <c:pt idx="3">
                  <c:v>68</c:v>
                </c:pt>
              </c:numCache>
            </c:numRef>
          </c:val>
          <c:smooth val="0"/>
          <c:extLst>
            <c:ext xmlns:c16="http://schemas.microsoft.com/office/drawing/2014/chart" uri="{C3380CC4-5D6E-409C-BE32-E72D297353CC}">
              <c16:uniqueId val="{00000000-D1A0-4E08-A925-3D4C66059DC7}"/>
            </c:ext>
          </c:extLst>
        </c:ser>
        <c:ser>
          <c:idx val="1"/>
          <c:order val="1"/>
          <c:tx>
            <c:strRef>
              <c:f>'07_WEEKLY_SNAPSHOT'!$D$8</c:f>
              <c:strCache>
                <c:ptCount val="1"/>
                <c:pt idx="0">
                  <c:v>Schedule</c:v>
                </c:pt>
              </c:strCache>
            </c:strRef>
          </c:tx>
          <c:spPr>
            <a:ln w="22225">
              <a:solidFill>
                <a:srgbClr val="C94A4A"/>
              </a:solidFill>
              <a:prstDash val="solid"/>
            </a:ln>
          </c:spPr>
          <c:marker>
            <c:symbol val="circle"/>
            <c:size val="7"/>
            <c:spPr>
              <a:solidFill>
                <a:srgbClr val="C94A4A"/>
              </a:solidFill>
              <a:ln>
                <a:solidFill>
                  <a:srgbClr val="C94A4A"/>
                </a:solidFill>
                <a:prstDash val="solid"/>
              </a:ln>
            </c:spPr>
          </c:marker>
          <c:cat>
            <c:strRef>
              <c:f>'07_WEEKLY_SNAPSHOT'!$B$9:$B$12</c:f>
              <c:strCache>
                <c:ptCount val="4"/>
                <c:pt idx="0">
                  <c:v>Week 1</c:v>
                </c:pt>
                <c:pt idx="1">
                  <c:v>Week 2</c:v>
                </c:pt>
                <c:pt idx="2">
                  <c:v>Week 3</c:v>
                </c:pt>
                <c:pt idx="3">
                  <c:v>Week 4</c:v>
                </c:pt>
              </c:strCache>
            </c:strRef>
          </c:cat>
          <c:val>
            <c:numRef>
              <c:f>'07_WEEKLY_SNAPSHOT'!$D$9:$D$12</c:f>
              <c:numCache>
                <c:formatCode>0</c:formatCode>
                <c:ptCount val="4"/>
                <c:pt idx="0">
                  <c:v>75</c:v>
                </c:pt>
                <c:pt idx="1">
                  <c:v>60</c:v>
                </c:pt>
                <c:pt idx="2">
                  <c:v>45</c:v>
                </c:pt>
                <c:pt idx="3">
                  <c:v>25</c:v>
                </c:pt>
              </c:numCache>
            </c:numRef>
          </c:val>
          <c:smooth val="0"/>
          <c:extLst>
            <c:ext xmlns:c16="http://schemas.microsoft.com/office/drawing/2014/chart" uri="{C3380CC4-5D6E-409C-BE32-E72D297353CC}">
              <c16:uniqueId val="{00000001-D1A0-4E08-A925-3D4C66059DC7}"/>
            </c:ext>
          </c:extLst>
        </c:ser>
        <c:ser>
          <c:idx val="2"/>
          <c:order val="2"/>
          <c:tx>
            <c:strRef>
              <c:f>'07_WEEKLY_SNAPSHOT'!$E$8</c:f>
              <c:strCache>
                <c:ptCount val="1"/>
                <c:pt idx="0">
                  <c:v>Budget</c:v>
                </c:pt>
              </c:strCache>
            </c:strRef>
          </c:tx>
          <c:spPr>
            <a:ln w="22225">
              <a:solidFill>
                <a:srgbClr val="14B8A6"/>
              </a:solidFill>
              <a:prstDash val="solid"/>
            </a:ln>
          </c:spPr>
          <c:marker>
            <c:symbol val="circle"/>
            <c:size val="7"/>
            <c:spPr>
              <a:solidFill>
                <a:srgbClr val="14B8A6"/>
              </a:solidFill>
              <a:ln>
                <a:solidFill>
                  <a:srgbClr val="14B8A6"/>
                </a:solidFill>
                <a:prstDash val="solid"/>
              </a:ln>
            </c:spPr>
          </c:marker>
          <c:cat>
            <c:strRef>
              <c:f>'07_WEEKLY_SNAPSHOT'!$B$9:$B$12</c:f>
              <c:strCache>
                <c:ptCount val="4"/>
                <c:pt idx="0">
                  <c:v>Week 1</c:v>
                </c:pt>
                <c:pt idx="1">
                  <c:v>Week 2</c:v>
                </c:pt>
                <c:pt idx="2">
                  <c:v>Week 3</c:v>
                </c:pt>
                <c:pt idx="3">
                  <c:v>Week 4</c:v>
                </c:pt>
              </c:strCache>
            </c:strRef>
          </c:cat>
          <c:val>
            <c:numRef>
              <c:f>'07_WEEKLY_SNAPSHOT'!$E$9:$E$12</c:f>
              <c:numCache>
                <c:formatCode>0</c:formatCode>
                <c:ptCount val="4"/>
                <c:pt idx="0">
                  <c:v>80</c:v>
                </c:pt>
                <c:pt idx="1">
                  <c:v>72</c:v>
                </c:pt>
                <c:pt idx="2">
                  <c:v>68</c:v>
                </c:pt>
                <c:pt idx="3">
                  <c:v>65</c:v>
                </c:pt>
              </c:numCache>
            </c:numRef>
          </c:val>
          <c:smooth val="0"/>
          <c:extLst>
            <c:ext xmlns:c16="http://schemas.microsoft.com/office/drawing/2014/chart" uri="{C3380CC4-5D6E-409C-BE32-E72D297353CC}">
              <c16:uniqueId val="{00000002-D1A0-4E08-A925-3D4C66059DC7}"/>
            </c:ext>
          </c:extLst>
        </c:ser>
        <c:ser>
          <c:idx val="3"/>
          <c:order val="3"/>
          <c:tx>
            <c:strRef>
              <c:f>'07_WEEKLY_SNAPSHOT'!$F$8</c:f>
              <c:strCache>
                <c:ptCount val="1"/>
                <c:pt idx="0">
                  <c:v>Risk</c:v>
                </c:pt>
              </c:strCache>
            </c:strRef>
          </c:tx>
          <c:spPr>
            <a:ln w="22225">
              <a:solidFill>
                <a:srgbClr val="C8A24A"/>
              </a:solidFill>
              <a:prstDash val="solid"/>
            </a:ln>
          </c:spPr>
          <c:marker>
            <c:symbol val="circle"/>
            <c:size val="7"/>
            <c:spPr>
              <a:solidFill>
                <a:srgbClr val="C8A24A"/>
              </a:solidFill>
              <a:ln>
                <a:solidFill>
                  <a:srgbClr val="C8A24A"/>
                </a:solidFill>
                <a:prstDash val="solid"/>
              </a:ln>
            </c:spPr>
          </c:marker>
          <c:cat>
            <c:strRef>
              <c:f>'07_WEEKLY_SNAPSHOT'!$B$9:$B$12</c:f>
              <c:strCache>
                <c:ptCount val="4"/>
                <c:pt idx="0">
                  <c:v>Week 1</c:v>
                </c:pt>
                <c:pt idx="1">
                  <c:v>Week 2</c:v>
                </c:pt>
                <c:pt idx="2">
                  <c:v>Week 3</c:v>
                </c:pt>
                <c:pt idx="3">
                  <c:v>Week 4</c:v>
                </c:pt>
              </c:strCache>
            </c:strRef>
          </c:cat>
          <c:val>
            <c:numRef>
              <c:f>'07_WEEKLY_SNAPSHOT'!$F$9:$F$12</c:f>
              <c:numCache>
                <c:formatCode>0</c:formatCode>
                <c:ptCount val="4"/>
                <c:pt idx="0">
                  <c:v>70</c:v>
                </c:pt>
                <c:pt idx="1">
                  <c:v>65</c:v>
                </c:pt>
                <c:pt idx="2">
                  <c:v>65</c:v>
                </c:pt>
                <c:pt idx="3">
                  <c:v>65</c:v>
                </c:pt>
              </c:numCache>
            </c:numRef>
          </c:val>
          <c:smooth val="0"/>
          <c:extLst>
            <c:ext xmlns:c16="http://schemas.microsoft.com/office/drawing/2014/chart" uri="{C3380CC4-5D6E-409C-BE32-E72D297353CC}">
              <c16:uniqueId val="{00000003-D1A0-4E08-A925-3D4C66059DC7}"/>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nextTo"/>
        <c:spPr>
          <a:ln>
            <a:solidFill>
              <a:srgbClr val="C9D1D9"/>
            </a:solidFill>
            <a:prstDash val="solid"/>
          </a:ln>
        </c:spPr>
        <c:txPr>
          <a:bodyPr/>
          <a:lstStyle/>
          <a:p>
            <a:pPr>
              <a:defRPr sz="900">
                <a:solidFill>
                  <a:srgbClr val="5F6B7A"/>
                </a:solidFill>
              </a:defRPr>
            </a:pPr>
            <a:endParaRPr lang="en-US"/>
          </a:p>
        </c:txPr>
        <c:crossAx val="100"/>
        <c:crosses val="autoZero"/>
        <c:auto val="1"/>
        <c:lblAlgn val="ctr"/>
        <c:lblOffset val="100"/>
        <c:noMultiLvlLbl val="1"/>
      </c:catAx>
      <c:valAx>
        <c:axId val="100"/>
        <c:scaling>
          <c:orientation val="minMax"/>
          <c:max val="100"/>
          <c:min val="0"/>
        </c:scaling>
        <c:delete val="0"/>
        <c:axPos val="l"/>
        <c:majorGridlines>
          <c:spPr>
            <a:ln>
              <a:solidFill>
                <a:srgbClr val="E6EAEE"/>
              </a:solidFill>
              <a:prstDash val="solid"/>
            </a:ln>
          </c:spPr>
        </c:majorGridlines>
        <c:numFmt formatCode="0" sourceLinked="1"/>
        <c:majorTickMark val="none"/>
        <c:minorTickMark val="none"/>
        <c:tickLblPos val="nextTo"/>
        <c:spPr>
          <a:ln>
            <a:solidFill>
              <a:srgbClr val="C9D1D9"/>
            </a:solidFill>
            <a:prstDash val="solid"/>
          </a:ln>
        </c:spPr>
        <c:txPr>
          <a:bodyPr/>
          <a:lstStyle/>
          <a:p>
            <a:pPr>
              <a:defRPr sz="900">
                <a:solidFill>
                  <a:srgbClr val="5F6B7A"/>
                </a:solidFill>
              </a:defRPr>
            </a:pPr>
            <a:endParaRPr lang="en-US"/>
          </a:p>
        </c:txPr>
        <c:crossAx val="10"/>
        <c:crosses val="autoZero"/>
        <c:crossBetween val="between"/>
        <c:majorUnit val="25"/>
      </c:valAx>
    </c:plotArea>
    <c:legend>
      <c:legendPos val="t"/>
      <c:overlay val="1"/>
      <c:txPr>
        <a:bodyPr/>
        <a:lstStyle/>
        <a:p>
          <a:pPr>
            <a:defRPr sz="1000">
              <a:solidFill>
                <a:srgbClr val="1F2933"/>
              </a:solidFill>
            </a:defRPr>
          </a:pPr>
          <a:endParaRPr lang="en-US"/>
        </a:p>
      </c:txPr>
    </c:legend>
    <c:plotVisOnly val="0"/>
    <c:dispBlanksAs val="gap"/>
    <c:showDLblsOverMax val="1"/>
  </c:chart>
  <c:spPr>
    <a:noFill/>
    <a:ln>
      <a:noFill/>
      <a:prstDash val="soli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autoTitleDeleted val="1"/>
    <c:plotArea>
      <c:layout/>
      <c:lineChart>
        <c:grouping val="standard"/>
        <c:varyColors val="1"/>
        <c:ser>
          <c:idx val="0"/>
          <c:order val="0"/>
          <c:tx>
            <c:strRef>
              <c:f>'07_WEEKLY_SNAPSHOT'!$C$8</c:f>
              <c:strCache>
                <c:ptCount val="1"/>
                <c:pt idx="0">
                  <c:v>Health Score</c:v>
                </c:pt>
              </c:strCache>
            </c:strRef>
          </c:tx>
          <c:spPr>
            <a:ln w="31750">
              <a:solidFill>
                <a:srgbClr val="1A2E40"/>
              </a:solidFill>
              <a:prstDash val="solid"/>
            </a:ln>
          </c:spPr>
          <c:marker>
            <c:symbol val="circle"/>
            <c:size val="7"/>
            <c:spPr>
              <a:solidFill>
                <a:srgbClr val="1A2E40"/>
              </a:solidFill>
              <a:ln>
                <a:solidFill>
                  <a:srgbClr val="1A2E40"/>
                </a:solidFill>
                <a:prstDash val="solid"/>
              </a:ln>
            </c:spPr>
          </c:marker>
          <c:dLbls>
            <c:spPr>
              <a:noFill/>
              <a:ln>
                <a:noFill/>
              </a:ln>
              <a:effectLst/>
            </c:spPr>
            <c:txPr>
              <a:bodyPr/>
              <a:lstStyle/>
              <a:p>
                <a:pPr>
                  <a:defRPr sz="900">
                    <a:solidFill>
                      <a:srgbClr val="1A2E40"/>
                    </a:solidFill>
                  </a:defRPr>
                </a:pPr>
                <a:endParaRPr lang="en-US"/>
              </a:p>
            </c:txPr>
            <c:dLblPos val="t"/>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'07_WEEKLY_SNAPSHOT'!$B$9:$B$12</c:f>
              <c:strCache>
                <c:ptCount val="4"/>
                <c:pt idx="0">
                  <c:v>Week 1</c:v>
                </c:pt>
                <c:pt idx="1">
                  <c:v>Week 2</c:v>
                </c:pt>
                <c:pt idx="2">
                  <c:v>Week 3</c:v>
                </c:pt>
                <c:pt idx="3">
                  <c:v>Week 4</c:v>
                </c:pt>
              </c:strCache>
            </c:strRef>
          </c:cat>
          <c:val>
            <c:numRef>
              <c:f>'07_WEEKLY_SNAPSHOT'!$C$9:$C$12</c:f>
              <c:numCache>
                <c:formatCode>0</c:formatCode>
                <c:ptCount val="4"/>
                <c:pt idx="0">
                  <c:v>78</c:v>
                </c:pt>
                <c:pt idx="1">
                  <c:v>74</c:v>
                </c:pt>
                <c:pt idx="2">
                  <c:v>70</c:v>
                </c:pt>
                <c:pt idx="3">
                  <c:v>68</c:v>
                </c:pt>
              </c:numCache>
            </c:numRef>
          </c:val>
          <c:smooth val="0"/>
          <c:extLst>
            <c:ext xmlns:c16="http://schemas.microsoft.com/office/drawing/2014/chart" uri="{C3380CC4-5D6E-409C-BE32-E72D297353CC}">
              <c16:uniqueId val="{00000000-A71A-47BF-9E7D-CD3195C831F7}"/>
            </c:ext>
          </c:extLst>
        </c:ser>
        <c:ser>
          <c:idx val="1"/>
          <c:order val="1"/>
          <c:tx>
            <c:strRef>
              <c:f>'07_WEEKLY_SNAPSHOT'!$D$8</c:f>
              <c:strCache>
                <c:ptCount val="1"/>
                <c:pt idx="0">
                  <c:v>Schedule</c:v>
                </c:pt>
              </c:strCache>
            </c:strRef>
          </c:tx>
          <c:spPr>
            <a:ln w="22225">
              <a:solidFill>
                <a:srgbClr val="C94A4A"/>
              </a:solidFill>
              <a:prstDash val="solid"/>
            </a:ln>
          </c:spPr>
          <c:marker>
            <c:symbol val="circle"/>
            <c:size val="7"/>
            <c:spPr>
              <a:solidFill>
                <a:srgbClr val="C94A4A"/>
              </a:solidFill>
              <a:ln>
                <a:solidFill>
                  <a:srgbClr val="C94A4A"/>
                </a:solidFill>
                <a:prstDash val="solid"/>
              </a:ln>
            </c:spPr>
          </c:marker>
          <c:cat>
            <c:strRef>
              <c:f>'07_WEEKLY_SNAPSHOT'!$B$9:$B$12</c:f>
              <c:strCache>
                <c:ptCount val="4"/>
                <c:pt idx="0">
                  <c:v>Week 1</c:v>
                </c:pt>
                <c:pt idx="1">
                  <c:v>Week 2</c:v>
                </c:pt>
                <c:pt idx="2">
                  <c:v>Week 3</c:v>
                </c:pt>
                <c:pt idx="3">
                  <c:v>Week 4</c:v>
                </c:pt>
              </c:strCache>
            </c:strRef>
          </c:cat>
          <c:val>
            <c:numRef>
              <c:f>'07_WEEKLY_SNAPSHOT'!$D$9:$D$12</c:f>
              <c:numCache>
                <c:formatCode>0</c:formatCode>
                <c:ptCount val="4"/>
                <c:pt idx="0">
                  <c:v>75</c:v>
                </c:pt>
                <c:pt idx="1">
                  <c:v>60</c:v>
                </c:pt>
                <c:pt idx="2">
                  <c:v>45</c:v>
                </c:pt>
                <c:pt idx="3">
                  <c:v>25</c:v>
                </c:pt>
              </c:numCache>
            </c:numRef>
          </c:val>
          <c:smooth val="0"/>
          <c:extLst>
            <c:ext xmlns:c16="http://schemas.microsoft.com/office/drawing/2014/chart" uri="{C3380CC4-5D6E-409C-BE32-E72D297353CC}">
              <c16:uniqueId val="{00000001-A71A-47BF-9E7D-CD3195C831F7}"/>
            </c:ext>
          </c:extLst>
        </c:ser>
        <c:ser>
          <c:idx val="2"/>
          <c:order val="2"/>
          <c:tx>
            <c:strRef>
              <c:f>'07_WEEKLY_SNAPSHOT'!$E$8</c:f>
              <c:strCache>
                <c:ptCount val="1"/>
                <c:pt idx="0">
                  <c:v>Budget</c:v>
                </c:pt>
              </c:strCache>
            </c:strRef>
          </c:tx>
          <c:spPr>
            <a:ln w="22225">
              <a:solidFill>
                <a:srgbClr val="14B8A6"/>
              </a:solidFill>
              <a:prstDash val="solid"/>
            </a:ln>
          </c:spPr>
          <c:marker>
            <c:symbol val="circle"/>
            <c:size val="7"/>
            <c:spPr>
              <a:solidFill>
                <a:srgbClr val="14B8A6"/>
              </a:solidFill>
              <a:ln>
                <a:solidFill>
                  <a:srgbClr val="14B8A6"/>
                </a:solidFill>
                <a:prstDash val="solid"/>
              </a:ln>
            </c:spPr>
          </c:marker>
          <c:cat>
            <c:strRef>
              <c:f>'07_WEEKLY_SNAPSHOT'!$B$9:$B$12</c:f>
              <c:strCache>
                <c:ptCount val="4"/>
                <c:pt idx="0">
                  <c:v>Week 1</c:v>
                </c:pt>
                <c:pt idx="1">
                  <c:v>Week 2</c:v>
                </c:pt>
                <c:pt idx="2">
                  <c:v>Week 3</c:v>
                </c:pt>
                <c:pt idx="3">
                  <c:v>Week 4</c:v>
                </c:pt>
              </c:strCache>
            </c:strRef>
          </c:cat>
          <c:val>
            <c:numRef>
              <c:f>'07_WEEKLY_SNAPSHOT'!$E$9:$E$12</c:f>
              <c:numCache>
                <c:formatCode>0</c:formatCode>
                <c:ptCount val="4"/>
                <c:pt idx="0">
                  <c:v>80</c:v>
                </c:pt>
                <c:pt idx="1">
                  <c:v>72</c:v>
                </c:pt>
                <c:pt idx="2">
                  <c:v>68</c:v>
                </c:pt>
                <c:pt idx="3">
                  <c:v>65</c:v>
                </c:pt>
              </c:numCache>
            </c:numRef>
          </c:val>
          <c:smooth val="0"/>
          <c:extLst>
            <c:ext xmlns:c16="http://schemas.microsoft.com/office/drawing/2014/chart" uri="{C3380CC4-5D6E-409C-BE32-E72D297353CC}">
              <c16:uniqueId val="{00000002-A71A-47BF-9E7D-CD3195C831F7}"/>
            </c:ext>
          </c:extLst>
        </c:ser>
        <c:ser>
          <c:idx val="3"/>
          <c:order val="3"/>
          <c:tx>
            <c:strRef>
              <c:f>'07_WEEKLY_SNAPSHOT'!$F$8</c:f>
              <c:strCache>
                <c:ptCount val="1"/>
                <c:pt idx="0">
                  <c:v>Risk</c:v>
                </c:pt>
              </c:strCache>
            </c:strRef>
          </c:tx>
          <c:spPr>
            <a:ln w="22225">
              <a:solidFill>
                <a:srgbClr val="C8A24A"/>
              </a:solidFill>
              <a:prstDash val="solid"/>
            </a:ln>
          </c:spPr>
          <c:marker>
            <c:symbol val="circle"/>
            <c:size val="7"/>
            <c:spPr>
              <a:solidFill>
                <a:srgbClr val="C8A24A"/>
              </a:solidFill>
              <a:ln>
                <a:solidFill>
                  <a:srgbClr val="C8A24A"/>
                </a:solidFill>
                <a:prstDash val="solid"/>
              </a:ln>
            </c:spPr>
          </c:marker>
          <c:cat>
            <c:strRef>
              <c:f>'07_WEEKLY_SNAPSHOT'!$B$9:$B$12</c:f>
              <c:strCache>
                <c:ptCount val="4"/>
                <c:pt idx="0">
                  <c:v>Week 1</c:v>
                </c:pt>
                <c:pt idx="1">
                  <c:v>Week 2</c:v>
                </c:pt>
                <c:pt idx="2">
                  <c:v>Week 3</c:v>
                </c:pt>
                <c:pt idx="3">
                  <c:v>Week 4</c:v>
                </c:pt>
              </c:strCache>
            </c:strRef>
          </c:cat>
          <c:val>
            <c:numRef>
              <c:f>'07_WEEKLY_SNAPSHOT'!$F$9:$F$12</c:f>
              <c:numCache>
                <c:formatCode>0</c:formatCode>
                <c:ptCount val="4"/>
                <c:pt idx="0">
                  <c:v>70</c:v>
                </c:pt>
                <c:pt idx="1">
                  <c:v>65</c:v>
                </c:pt>
                <c:pt idx="2">
                  <c:v>65</c:v>
                </c:pt>
                <c:pt idx="3">
                  <c:v>65</c:v>
                </c:pt>
              </c:numCache>
            </c:numRef>
          </c:val>
          <c:smooth val="0"/>
          <c:extLst>
            <c:ext xmlns:c16="http://schemas.microsoft.com/office/drawing/2014/chart" uri="{C3380CC4-5D6E-409C-BE32-E72D297353CC}">
              <c16:uniqueId val="{00000003-A71A-47BF-9E7D-CD3195C831F7}"/>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nextTo"/>
        <c:spPr>
          <a:ln>
            <a:solidFill>
              <a:srgbClr val="C9D1D9"/>
            </a:solidFill>
            <a:prstDash val="solid"/>
          </a:ln>
        </c:spPr>
        <c:txPr>
          <a:bodyPr/>
          <a:lstStyle/>
          <a:p>
            <a:pPr>
              <a:defRPr sz="900">
                <a:solidFill>
                  <a:srgbClr val="5F6B7A"/>
                </a:solidFill>
              </a:defRPr>
            </a:pPr>
            <a:endParaRPr lang="en-US"/>
          </a:p>
        </c:txPr>
        <c:crossAx val="100"/>
        <c:crosses val="autoZero"/>
        <c:auto val="1"/>
        <c:lblAlgn val="ctr"/>
        <c:lblOffset val="100"/>
        <c:noMultiLvlLbl val="1"/>
      </c:catAx>
      <c:valAx>
        <c:axId val="100"/>
        <c:scaling>
          <c:orientation val="minMax"/>
          <c:max val="100"/>
          <c:min val="0"/>
        </c:scaling>
        <c:delete val="0"/>
        <c:axPos val="l"/>
        <c:majorGridlines>
          <c:spPr>
            <a:ln>
              <a:solidFill>
                <a:srgbClr val="E6EAEE"/>
              </a:solidFill>
              <a:prstDash val="solid"/>
            </a:ln>
          </c:spPr>
        </c:majorGridlines>
        <c:numFmt formatCode="0" sourceLinked="1"/>
        <c:majorTickMark val="none"/>
        <c:minorTickMark val="none"/>
        <c:tickLblPos val="nextTo"/>
        <c:spPr>
          <a:ln>
            <a:solidFill>
              <a:srgbClr val="C9D1D9"/>
            </a:solidFill>
            <a:prstDash val="solid"/>
          </a:ln>
        </c:spPr>
        <c:txPr>
          <a:bodyPr/>
          <a:lstStyle/>
          <a:p>
            <a:pPr>
              <a:defRPr sz="900">
                <a:solidFill>
                  <a:srgbClr val="5F6B7A"/>
                </a:solidFill>
              </a:defRPr>
            </a:pPr>
            <a:endParaRPr lang="en-US"/>
          </a:p>
        </c:txPr>
        <c:crossAx val="10"/>
        <c:crosses val="autoZero"/>
        <c:crossBetween val="between"/>
        <c:majorUnit val="25"/>
      </c:valAx>
    </c:plotArea>
    <c:legend>
      <c:legendPos val="t"/>
      <c:overlay val="1"/>
      <c:txPr>
        <a:bodyPr/>
        <a:lstStyle/>
        <a:p>
          <a:pPr>
            <a:defRPr sz="1000">
              <a:solidFill>
                <a:srgbClr val="1F2933"/>
              </a:solidFill>
            </a:defRPr>
          </a:pPr>
          <a:endParaRPr lang="en-US"/>
        </a:p>
      </c:txPr>
    </c:legend>
    <c:plotVisOnly val="0"/>
    <c:dispBlanksAs val="gap"/>
    <c:showDLblsOverMax val="1"/>
  </c:chart>
  <c:spPr>
    <a:noFill/>
    <a:ln>
      <a:no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5" Type="http://schemas.openxmlformats.org/officeDocument/2006/relationships/chart" Target="../charts/chart7.xml"/><Relationship Id="rId4" Type="http://schemas.openxmlformats.org/officeDocument/2006/relationships/chart" Target="../charts/chart6.xml"/></Relationships>
</file>

<file path=xl/drawings/_rels/drawing4.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oneCellAnchor>
    <xdr:from>
      <xdr:col>6</xdr:col>
      <xdr:colOff>0</xdr:colOff>
      <xdr:row>21</xdr:row>
      <xdr:rowOff>0</xdr:rowOff>
    </xdr:from>
    <xdr:ext cx="7476190" cy="2177777"/>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2.xml><?xml version="1.0" encoding="utf-8"?>
<xdr:wsDr xmlns:xdr="http://schemas.openxmlformats.org/drawingml/2006/spreadsheetDrawing" xmlns:a="http://schemas.openxmlformats.org/drawingml/2006/main">
  <xdr:oneCellAnchor>
    <xdr:from>
      <xdr:col>5</xdr:col>
      <xdr:colOff>0</xdr:colOff>
      <xdr:row>21</xdr:row>
      <xdr:rowOff>0</xdr:rowOff>
    </xdr:from>
    <xdr:ext cx="6247619" cy="1898412"/>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5</xdr:col>
      <xdr:colOff>0</xdr:colOff>
      <xdr:row>10</xdr:row>
      <xdr:rowOff>0</xdr:rowOff>
    </xdr:from>
    <xdr:ext cx="6990476" cy="263492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xdr:col>
      <xdr:colOff>0</xdr:colOff>
      <xdr:row>28</xdr:row>
      <xdr:rowOff>0</xdr:rowOff>
    </xdr:from>
    <xdr:ext cx="3466666" cy="2685714"/>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5</xdr:col>
      <xdr:colOff>0</xdr:colOff>
      <xdr:row>28</xdr:row>
      <xdr:rowOff>0</xdr:rowOff>
    </xdr:from>
    <xdr:ext cx="3466666" cy="2685714"/>
    <xdr:graphicFrame macro="">
      <xdr:nvGraphicFramePr>
        <xdr:cNvPr id="4" name="Chart 3">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oneCellAnchor>
    <xdr:from>
      <xdr:col>9</xdr:col>
      <xdr:colOff>0</xdr:colOff>
      <xdr:row>28</xdr:row>
      <xdr:rowOff>0</xdr:rowOff>
    </xdr:from>
    <xdr:ext cx="3466666" cy="2685714"/>
    <xdr:graphicFrame macro="">
      <xdr:nvGraphicFramePr>
        <xdr:cNvPr id="5" name="Chart 4">
          <a:extLst>
            <a:ext uri="{FF2B5EF4-FFF2-40B4-BE49-F238E27FC236}">
              <a16:creationId xmlns:a16="http://schemas.microsoft.com/office/drawing/2014/main" id="{00000000-0008-0000-05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oneCellAnchor>
  <xdr:oneCellAnchor>
    <xdr:from>
      <xdr:col>1</xdr:col>
      <xdr:colOff>0</xdr:colOff>
      <xdr:row>42</xdr:row>
      <xdr:rowOff>0</xdr:rowOff>
    </xdr:from>
    <xdr:ext cx="10514285" cy="2685714"/>
    <xdr:graphicFrame macro="">
      <xdr:nvGraphicFramePr>
        <xdr:cNvPr id="6" name="Chart 5">
          <a:extLst>
            <a:ext uri="{FF2B5EF4-FFF2-40B4-BE49-F238E27FC236}">
              <a16:creationId xmlns:a16="http://schemas.microsoft.com/office/drawing/2014/main" id="{00000000-0008-0000-05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16</xdr:row>
      <xdr:rowOff>0</xdr:rowOff>
    </xdr:from>
    <xdr:ext cx="8676190" cy="3142857"/>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edgevelocity.net/" TargetMode="External"/><Relationship Id="rId2" Type="http://schemas.openxmlformats.org/officeDocument/2006/relationships/hyperlink" Target="https://edgevelocity.net/digital-products/capgate-pro/" TargetMode="External"/><Relationship Id="rId1" Type="http://schemas.openxmlformats.org/officeDocument/2006/relationships/hyperlink" Target="https://edgevelocity.net/digital-products/advanced-project-plann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edgevelocity.ne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edgevelocity.net/"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edgevelocity.net/"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edgevelocity.net/"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edgevelocity.net/" TargetMode="External"/><Relationship Id="rId1" Type="http://schemas.openxmlformats.org/officeDocument/2006/relationships/hyperlink" Target="https://edgevelocity.net/digital-products/advanced-project-planner/"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edgevelocity.net/"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edgevelocity.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8A24A"/>
    <pageSetUpPr fitToPage="1"/>
  </sheetPr>
  <dimension ref="A1:I46"/>
  <sheetViews>
    <sheetView showGridLines="0" topLeftCell="A19" zoomScale="130" zoomScaleNormal="130" workbookViewId="0"/>
  </sheetViews>
  <sheetFormatPr defaultRowHeight="14.5" x14ac:dyDescent="0.35"/>
  <cols>
    <col min="1" max="1" width="3" customWidth="1"/>
    <col min="2" max="2" width="7" customWidth="1"/>
    <col min="3" max="3" width="20" customWidth="1"/>
    <col min="4" max="7" width="16" customWidth="1"/>
    <col min="8" max="8" width="22" customWidth="1"/>
    <col min="9" max="9" width="3" customWidth="1"/>
  </cols>
  <sheetData>
    <row r="1" spans="1:9" ht="8" customHeight="1" x14ac:dyDescent="0.35">
      <c r="A1" s="1"/>
      <c r="B1" s="1"/>
      <c r="C1" s="1"/>
      <c r="D1" s="1"/>
      <c r="E1" s="1"/>
      <c r="F1" s="1"/>
      <c r="G1" s="1"/>
      <c r="H1" s="1"/>
      <c r="I1" s="1"/>
    </row>
    <row r="2" spans="1:9" ht="34" customHeight="1" x14ac:dyDescent="0.35">
      <c r="A2" s="1"/>
      <c r="B2" s="72" t="s">
        <v>0</v>
      </c>
      <c r="C2" s="49"/>
      <c r="D2" s="49"/>
      <c r="E2" s="49"/>
      <c r="F2" s="49"/>
      <c r="G2" s="49"/>
      <c r="H2" s="49"/>
      <c r="I2" s="1"/>
    </row>
    <row r="3" spans="1:9" ht="22" customHeight="1" x14ac:dyDescent="0.35">
      <c r="A3" s="1"/>
      <c r="B3" s="68" t="s">
        <v>1</v>
      </c>
      <c r="C3" s="49"/>
      <c r="D3" s="49"/>
      <c r="E3" s="49"/>
      <c r="F3" s="49"/>
      <c r="G3" s="49"/>
      <c r="H3" s="49"/>
      <c r="I3" s="1"/>
    </row>
    <row r="4" spans="1:9" ht="4" customHeight="1" x14ac:dyDescent="0.35">
      <c r="A4" s="2"/>
      <c r="B4" s="2"/>
      <c r="C4" s="2"/>
      <c r="D4" s="2"/>
      <c r="E4" s="2"/>
      <c r="F4" s="2"/>
      <c r="G4" s="2"/>
      <c r="H4" s="2"/>
      <c r="I4" s="2"/>
    </row>
    <row r="5" spans="1:9" ht="10" customHeight="1" x14ac:dyDescent="0.35"/>
    <row r="6" spans="1:9" ht="30" customHeight="1" x14ac:dyDescent="0.55000000000000004">
      <c r="B6" s="56" t="s">
        <v>2</v>
      </c>
      <c r="C6" s="49"/>
      <c r="D6" s="49"/>
      <c r="E6" s="49"/>
      <c r="F6" s="49"/>
      <c r="G6" s="49"/>
      <c r="H6" s="49"/>
    </row>
    <row r="7" spans="1:9" ht="39.25" customHeight="1" x14ac:dyDescent="0.35">
      <c r="B7" s="67" t="s">
        <v>3</v>
      </c>
      <c r="C7" s="49"/>
      <c r="D7" s="49"/>
      <c r="E7" s="49"/>
      <c r="F7" s="49"/>
      <c r="G7" s="49"/>
      <c r="H7" s="49"/>
    </row>
    <row r="8" spans="1:9" ht="24" customHeight="1" x14ac:dyDescent="0.35">
      <c r="B8" s="75" t="s">
        <v>4</v>
      </c>
      <c r="C8" s="76"/>
      <c r="D8" s="76"/>
      <c r="E8" s="76"/>
      <c r="F8" s="76"/>
      <c r="G8" s="76"/>
      <c r="H8" s="76"/>
    </row>
    <row r="10" spans="1:9" ht="24" customHeight="1" x14ac:dyDescent="0.35">
      <c r="B10" s="61" t="s">
        <v>5</v>
      </c>
      <c r="C10" s="62"/>
      <c r="D10" s="62"/>
      <c r="E10" s="62"/>
      <c r="F10" s="62"/>
      <c r="G10" s="62"/>
      <c r="H10" s="62"/>
    </row>
    <row r="11" spans="1:9" ht="34" customHeight="1" x14ac:dyDescent="0.35">
      <c r="B11" s="3">
        <v>1</v>
      </c>
      <c r="C11" s="57" t="s">
        <v>6</v>
      </c>
      <c r="D11" s="58"/>
      <c r="E11" s="66" t="s">
        <v>7</v>
      </c>
      <c r="F11" s="58"/>
      <c r="G11" s="58"/>
      <c r="H11" s="58"/>
    </row>
    <row r="12" spans="1:9" ht="36.4" customHeight="1" x14ac:dyDescent="0.35">
      <c r="B12" s="3">
        <v>2</v>
      </c>
      <c r="C12" s="57" t="s">
        <v>8</v>
      </c>
      <c r="D12" s="58"/>
      <c r="E12" s="66" t="s">
        <v>9</v>
      </c>
      <c r="F12" s="58"/>
      <c r="G12" s="58"/>
      <c r="H12" s="58"/>
    </row>
    <row r="13" spans="1:9" ht="36.4" customHeight="1" x14ac:dyDescent="0.35">
      <c r="B13" s="3">
        <v>3</v>
      </c>
      <c r="C13" s="57" t="s">
        <v>10</v>
      </c>
      <c r="D13" s="58"/>
      <c r="E13" s="66" t="s">
        <v>11</v>
      </c>
      <c r="F13" s="58"/>
      <c r="G13" s="58"/>
      <c r="H13" s="58"/>
    </row>
    <row r="14" spans="1:9" ht="36.4" customHeight="1" x14ac:dyDescent="0.35">
      <c r="B14" s="3">
        <v>4</v>
      </c>
      <c r="C14" s="57" t="s">
        <v>12</v>
      </c>
      <c r="D14" s="58"/>
      <c r="E14" s="66" t="s">
        <v>13</v>
      </c>
      <c r="F14" s="58"/>
      <c r="G14" s="58"/>
      <c r="H14" s="58"/>
    </row>
    <row r="16" spans="1:9" ht="24" customHeight="1" x14ac:dyDescent="0.35">
      <c r="B16" s="61" t="s">
        <v>14</v>
      </c>
      <c r="C16" s="62"/>
      <c r="D16" s="62"/>
      <c r="E16" s="62"/>
      <c r="F16" s="62"/>
      <c r="G16" s="62"/>
      <c r="H16" s="62"/>
    </row>
    <row r="17" spans="2:8" ht="36.4" customHeight="1" x14ac:dyDescent="0.35">
      <c r="B17" s="77" t="s">
        <v>15</v>
      </c>
      <c r="C17" s="49"/>
      <c r="D17" s="49"/>
      <c r="E17" s="49"/>
      <c r="F17" s="49"/>
      <c r="G17" s="49"/>
      <c r="H17" s="49"/>
    </row>
    <row r="18" spans="2:8" ht="22" customHeight="1" x14ac:dyDescent="0.35">
      <c r="B18" s="64" t="s">
        <v>16</v>
      </c>
      <c r="C18" s="55"/>
      <c r="D18" s="54" t="s">
        <v>17</v>
      </c>
      <c r="E18" s="55"/>
      <c r="F18" s="44" t="s">
        <v>18</v>
      </c>
      <c r="G18" s="45"/>
      <c r="H18" s="45"/>
    </row>
    <row r="19" spans="2:8" ht="22" customHeight="1" x14ac:dyDescent="0.35">
      <c r="B19" s="64" t="s">
        <v>19</v>
      </c>
      <c r="C19" s="55"/>
      <c r="D19" s="54" t="s">
        <v>20</v>
      </c>
      <c r="E19" s="55"/>
      <c r="F19" s="44" t="s">
        <v>21</v>
      </c>
      <c r="G19" s="45"/>
      <c r="H19" s="45"/>
    </row>
    <row r="20" spans="2:8" ht="22" customHeight="1" x14ac:dyDescent="0.35">
      <c r="B20" s="79" t="s">
        <v>22</v>
      </c>
      <c r="C20" s="47"/>
      <c r="D20" s="46" t="s">
        <v>23</v>
      </c>
      <c r="E20" s="47"/>
      <c r="F20" s="44" t="s">
        <v>24</v>
      </c>
      <c r="G20" s="45"/>
      <c r="H20" s="45"/>
    </row>
    <row r="21" spans="2:8" ht="22" customHeight="1" x14ac:dyDescent="0.35">
      <c r="B21" s="59" t="s">
        <v>25</v>
      </c>
      <c r="C21" s="60"/>
      <c r="D21" s="63" t="s">
        <v>26</v>
      </c>
      <c r="E21" s="60"/>
      <c r="F21" s="44" t="s">
        <v>27</v>
      </c>
      <c r="G21" s="45"/>
      <c r="H21" s="45"/>
    </row>
    <row r="22" spans="2:8" ht="22" customHeight="1" x14ac:dyDescent="0.35">
      <c r="B22" s="59" t="s">
        <v>28</v>
      </c>
      <c r="C22" s="60"/>
      <c r="D22" s="63" t="s">
        <v>29</v>
      </c>
      <c r="E22" s="60"/>
      <c r="F22" s="44" t="s">
        <v>30</v>
      </c>
      <c r="G22" s="45"/>
      <c r="H22" s="45"/>
    </row>
    <row r="24" spans="2:8" ht="24" customHeight="1" x14ac:dyDescent="0.35">
      <c r="B24" s="61" t="s">
        <v>31</v>
      </c>
      <c r="C24" s="62"/>
      <c r="D24" s="62"/>
      <c r="E24" s="62"/>
      <c r="F24" s="62"/>
      <c r="G24" s="62"/>
      <c r="H24" s="62"/>
    </row>
    <row r="25" spans="2:8" ht="21" customHeight="1" x14ac:dyDescent="0.35">
      <c r="B25" s="65" t="s">
        <v>32</v>
      </c>
      <c r="C25" s="51"/>
      <c r="D25" s="51"/>
      <c r="E25" s="50" t="s">
        <v>33</v>
      </c>
      <c r="F25" s="51"/>
      <c r="G25" s="51"/>
      <c r="H25" s="51"/>
    </row>
    <row r="26" spans="2:8" ht="21" customHeight="1" x14ac:dyDescent="0.35">
      <c r="B26" s="65" t="s">
        <v>34</v>
      </c>
      <c r="C26" s="51"/>
      <c r="D26" s="51"/>
      <c r="E26" s="50" t="s">
        <v>35</v>
      </c>
      <c r="F26" s="51"/>
      <c r="G26" s="51"/>
      <c r="H26" s="51"/>
    </row>
    <row r="27" spans="2:8" ht="21" customHeight="1" x14ac:dyDescent="0.35">
      <c r="B27" s="65" t="s">
        <v>36</v>
      </c>
      <c r="C27" s="51"/>
      <c r="D27" s="51"/>
      <c r="E27" s="50" t="s">
        <v>37</v>
      </c>
      <c r="F27" s="51"/>
      <c r="G27" s="51"/>
      <c r="H27" s="51"/>
    </row>
    <row r="28" spans="2:8" ht="21" customHeight="1" x14ac:dyDescent="0.35">
      <c r="B28" s="65" t="s">
        <v>38</v>
      </c>
      <c r="C28" s="51"/>
      <c r="D28" s="51"/>
      <c r="E28" s="50" t="s">
        <v>39</v>
      </c>
      <c r="F28" s="51"/>
      <c r="G28" s="51"/>
      <c r="H28" s="51"/>
    </row>
    <row r="29" spans="2:8" ht="21" customHeight="1" x14ac:dyDescent="0.35">
      <c r="B29" s="65" t="s">
        <v>40</v>
      </c>
      <c r="C29" s="51"/>
      <c r="D29" s="51"/>
      <c r="E29" s="50" t="s">
        <v>41</v>
      </c>
      <c r="F29" s="51"/>
      <c r="G29" s="51"/>
      <c r="H29" s="51"/>
    </row>
    <row r="30" spans="2:8" ht="21" customHeight="1" x14ac:dyDescent="0.35">
      <c r="B30" s="65" t="s">
        <v>42</v>
      </c>
      <c r="C30" s="51"/>
      <c r="D30" s="51"/>
      <c r="E30" s="50" t="s">
        <v>43</v>
      </c>
      <c r="F30" s="51"/>
      <c r="G30" s="51"/>
      <c r="H30" s="51"/>
    </row>
    <row r="31" spans="2:8" ht="21" customHeight="1" x14ac:dyDescent="0.35">
      <c r="B31" s="65" t="s">
        <v>44</v>
      </c>
      <c r="C31" s="51"/>
      <c r="D31" s="51"/>
      <c r="E31" s="50" t="s">
        <v>45</v>
      </c>
      <c r="F31" s="51"/>
      <c r="G31" s="51"/>
      <c r="H31" s="51"/>
    </row>
    <row r="32" spans="2:8" ht="21" customHeight="1" x14ac:dyDescent="0.35">
      <c r="B32" s="65" t="s">
        <v>46</v>
      </c>
      <c r="C32" s="51"/>
      <c r="D32" s="51"/>
      <c r="E32" s="50" t="s">
        <v>47</v>
      </c>
      <c r="F32" s="51"/>
      <c r="G32" s="51"/>
      <c r="H32" s="51"/>
    </row>
    <row r="34" spans="2:8" ht="24" customHeight="1" x14ac:dyDescent="0.35">
      <c r="B34" s="61" t="s">
        <v>48</v>
      </c>
      <c r="C34" s="62"/>
      <c r="D34" s="62"/>
      <c r="E34" s="62"/>
      <c r="F34" s="62"/>
      <c r="G34" s="62"/>
      <c r="H34" s="62"/>
    </row>
    <row r="35" spans="2:8" ht="22" customHeight="1" x14ac:dyDescent="0.35">
      <c r="B35" s="73" t="s">
        <v>49</v>
      </c>
      <c r="C35" s="74"/>
      <c r="D35" s="48" t="s">
        <v>50</v>
      </c>
      <c r="E35" s="49"/>
      <c r="F35" s="49"/>
      <c r="G35" s="49"/>
      <c r="H35" s="49"/>
    </row>
    <row r="36" spans="2:8" ht="22" customHeight="1" x14ac:dyDescent="0.35">
      <c r="B36" s="80" t="s">
        <v>51</v>
      </c>
      <c r="C36" s="81"/>
      <c r="D36" s="48" t="s">
        <v>52</v>
      </c>
      <c r="E36" s="49"/>
      <c r="F36" s="49"/>
      <c r="G36" s="49"/>
      <c r="H36" s="49"/>
    </row>
    <row r="38" spans="2:8" ht="30" customHeight="1" x14ac:dyDescent="0.45">
      <c r="B38" s="82" t="s">
        <v>53</v>
      </c>
      <c r="C38" s="53"/>
      <c r="D38" s="53"/>
      <c r="E38" s="53"/>
      <c r="F38" s="53"/>
      <c r="G38" s="53"/>
      <c r="H38" s="53"/>
    </row>
    <row r="39" spans="2:8" ht="36.4" customHeight="1" x14ac:dyDescent="0.35">
      <c r="B39" s="71" t="s">
        <v>54</v>
      </c>
      <c r="C39" s="53"/>
      <c r="D39" s="53"/>
      <c r="E39" s="53"/>
      <c r="F39" s="53"/>
      <c r="G39" s="53"/>
      <c r="H39" s="53"/>
    </row>
    <row r="40" spans="2:8" ht="26" customHeight="1" x14ac:dyDescent="0.35">
      <c r="B40" s="52" t="s">
        <v>55</v>
      </c>
      <c r="C40" s="53"/>
      <c r="D40" s="53"/>
      <c r="E40" s="53"/>
      <c r="F40" s="53"/>
      <c r="G40" s="53"/>
      <c r="H40" s="53"/>
    </row>
    <row r="41" spans="2:8" ht="8" customHeight="1" x14ac:dyDescent="0.35">
      <c r="B41" s="1"/>
      <c r="C41" s="1"/>
      <c r="D41" s="1"/>
      <c r="E41" s="1"/>
      <c r="F41" s="1"/>
      <c r="G41" s="1"/>
      <c r="H41" s="1"/>
    </row>
    <row r="43" spans="2:8" ht="22.25" customHeight="1" x14ac:dyDescent="0.35">
      <c r="B43" s="70" t="s">
        <v>56</v>
      </c>
      <c r="C43" s="49"/>
      <c r="D43" s="49"/>
      <c r="E43" s="49"/>
      <c r="F43" s="49"/>
      <c r="G43" s="49"/>
      <c r="H43" s="49"/>
    </row>
    <row r="44" spans="2:8" x14ac:dyDescent="0.35">
      <c r="B44" s="78" t="s">
        <v>57</v>
      </c>
      <c r="C44" s="49"/>
      <c r="D44" s="49"/>
      <c r="E44" s="49"/>
      <c r="F44" s="49"/>
      <c r="G44" s="49"/>
      <c r="H44" s="49"/>
    </row>
    <row r="46" spans="2:8" x14ac:dyDescent="0.35">
      <c r="B46" s="69" t="s">
        <v>58</v>
      </c>
      <c r="C46" s="49"/>
      <c r="D46" s="49"/>
      <c r="E46" s="49"/>
      <c r="F46" s="49"/>
      <c r="G46" s="49"/>
      <c r="H46" s="49"/>
    </row>
  </sheetData>
  <mergeCells count="59">
    <mergeCell ref="B2:H2"/>
    <mergeCell ref="E29:H29"/>
    <mergeCell ref="D18:E18"/>
    <mergeCell ref="B25:D25"/>
    <mergeCell ref="B35:C35"/>
    <mergeCell ref="E28:H28"/>
    <mergeCell ref="E13:H13"/>
    <mergeCell ref="B8:H8"/>
    <mergeCell ref="B17:H17"/>
    <mergeCell ref="F19:H19"/>
    <mergeCell ref="B31:D31"/>
    <mergeCell ref="E31:H31"/>
    <mergeCell ref="B20:C20"/>
    <mergeCell ref="B34:H34"/>
    <mergeCell ref="E30:H30"/>
    <mergeCell ref="B27:D27"/>
    <mergeCell ref="B3:H3"/>
    <mergeCell ref="B46:H46"/>
    <mergeCell ref="E14:H14"/>
    <mergeCell ref="C12:D12"/>
    <mergeCell ref="C11:D11"/>
    <mergeCell ref="B19:C19"/>
    <mergeCell ref="B32:D32"/>
    <mergeCell ref="B43:H43"/>
    <mergeCell ref="B39:H39"/>
    <mergeCell ref="B26:D26"/>
    <mergeCell ref="B44:H44"/>
    <mergeCell ref="B36:C36"/>
    <mergeCell ref="B38:H38"/>
    <mergeCell ref="C13:D13"/>
    <mergeCell ref="B10:H10"/>
    <mergeCell ref="E11:H11"/>
    <mergeCell ref="F18:H18"/>
    <mergeCell ref="D19:E19"/>
    <mergeCell ref="B6:H6"/>
    <mergeCell ref="C14:D14"/>
    <mergeCell ref="B22:C22"/>
    <mergeCell ref="D22:E22"/>
    <mergeCell ref="B18:C18"/>
    <mergeCell ref="D21:E21"/>
    <mergeCell ref="B21:C21"/>
    <mergeCell ref="F22:H22"/>
    <mergeCell ref="E12:H12"/>
    <mergeCell ref="B16:H16"/>
    <mergeCell ref="B7:H7"/>
    <mergeCell ref="F21:H21"/>
    <mergeCell ref="F20:H20"/>
    <mergeCell ref="D20:E20"/>
    <mergeCell ref="D35:H35"/>
    <mergeCell ref="E26:H26"/>
    <mergeCell ref="B40:H40"/>
    <mergeCell ref="B24:H24"/>
    <mergeCell ref="E25:H25"/>
    <mergeCell ref="B29:D29"/>
    <mergeCell ref="E32:H32"/>
    <mergeCell ref="D36:H36"/>
    <mergeCell ref="B28:D28"/>
    <mergeCell ref="B30:D30"/>
    <mergeCell ref="E27:H27"/>
  </mergeCells>
  <hyperlinks>
    <hyperlink ref="C11" location="'02_PROJECT_INPUT'!A1" display="Enter your project basics" xr:uid="{00000000-0004-0000-0000-000000000000}"/>
    <hyperlink ref="C12" location="'03_HEALTH_CHECK'!A1" display="Rate the 10 dimensions" xr:uid="{00000000-0004-0000-0000-000001000000}"/>
    <hyperlink ref="C13" location="'04_RAID_LITE'!A1" display="Log risks, milestones and phases" xr:uid="{00000000-0004-0000-0000-000002000000}"/>
    <hyperlink ref="C14" location="'06_DASHBOARD'!A1" display="Review your dashboard" xr:uid="{00000000-0004-0000-0000-000003000000}"/>
    <hyperlink ref="B25" location="'01_START_HERE'!A1" display="01_START_HERE" xr:uid="{00000000-0004-0000-0000-000004000000}"/>
    <hyperlink ref="B26" location="'02_PROJECT_INPUT'!A1" display="02_PROJECT_INPUT" xr:uid="{00000000-0004-0000-0000-000005000000}"/>
    <hyperlink ref="B27" location="'03_HEALTH_CHECK'!A1" display="03_HEALTH_CHECK" xr:uid="{00000000-0004-0000-0000-000006000000}"/>
    <hyperlink ref="B28" location="'04_RAID_LITE'!A1" display="04_RAID_LITE" xr:uid="{00000000-0004-0000-0000-000007000000}"/>
    <hyperlink ref="B29" location="'05_MILESTONES'!A1" display="05_MILESTONES" xr:uid="{00000000-0004-0000-0000-000008000000}"/>
    <hyperlink ref="B30" location="'06_DASHBOARD'!A1" display="06_DASHBOARD" xr:uid="{00000000-0004-0000-0000-000009000000}"/>
    <hyperlink ref="B31" location="'07_WEEKLY_SNAPSHOT'!A1" display="07_WEEKLY_SNAPSHOT" xr:uid="{00000000-0004-0000-0000-00000A000000}"/>
    <hyperlink ref="B32" location="'08_GANTT'!A1" display="08_GANTT" xr:uid="{00000000-0004-0000-0000-00000B000000}"/>
    <hyperlink ref="B40" r:id="rId1" xr:uid="{00000000-0004-0000-0000-00000C000000}"/>
    <hyperlink ref="B44" r:id="rId2" xr:uid="{00000000-0004-0000-0000-00000D000000}"/>
    <hyperlink ref="B46" r:id="rId3" xr:uid="{00000000-0004-0000-0000-00000E000000}"/>
  </hyperlinks>
  <printOptions horizontalCentered="1"/>
  <pageMargins left="0.4" right="0.4" top="0.5" bottom="0.5" header="0.5" footer="0.5"/>
  <pageSetup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A2E40"/>
    <pageSetUpPr fitToPage="1"/>
  </sheetPr>
  <dimension ref="A1:E29"/>
  <sheetViews>
    <sheetView showGridLines="0" tabSelected="1" zoomScale="130" zoomScaleNormal="130" workbookViewId="0">
      <pane ySplit="4" topLeftCell="A5" activePane="bottomLeft" state="frozen"/>
      <selection pane="bottomLeft"/>
    </sheetView>
  </sheetViews>
  <sheetFormatPr defaultRowHeight="14.5" x14ac:dyDescent="0.35"/>
  <cols>
    <col min="1" max="1" width="3" customWidth="1"/>
    <col min="2" max="2" width="28" customWidth="1"/>
    <col min="3" max="3" width="24" customWidth="1"/>
    <col min="4" max="4" width="46" customWidth="1"/>
    <col min="5" max="5" width="3" customWidth="1"/>
  </cols>
  <sheetData>
    <row r="1" spans="1:5" ht="8" customHeight="1" x14ac:dyDescent="0.35">
      <c r="A1" s="1"/>
      <c r="B1" s="1"/>
      <c r="C1" s="1"/>
      <c r="D1" s="1"/>
      <c r="E1" s="1"/>
    </row>
    <row r="2" spans="1:5" ht="34" customHeight="1" x14ac:dyDescent="0.35">
      <c r="A2" s="1"/>
      <c r="B2" s="72" t="s">
        <v>59</v>
      </c>
      <c r="C2" s="49"/>
      <c r="D2" s="49"/>
      <c r="E2" s="1"/>
    </row>
    <row r="3" spans="1:5" ht="22" customHeight="1" x14ac:dyDescent="0.35">
      <c r="A3" s="1"/>
      <c r="B3" s="68" t="s">
        <v>60</v>
      </c>
      <c r="C3" s="49"/>
      <c r="D3" s="49"/>
      <c r="E3" s="1"/>
    </row>
    <row r="4" spans="1:5" ht="4" customHeight="1" x14ac:dyDescent="0.35">
      <c r="A4" s="2"/>
      <c r="B4" s="2"/>
      <c r="C4" s="2"/>
      <c r="D4" s="2"/>
      <c r="E4" s="2"/>
    </row>
    <row r="6" spans="1:5" ht="18" customHeight="1" x14ac:dyDescent="0.35">
      <c r="B6" s="4" t="s">
        <v>49</v>
      </c>
      <c r="C6" s="5" t="s">
        <v>51</v>
      </c>
    </row>
    <row r="8" spans="1:5" ht="30" customHeight="1" x14ac:dyDescent="0.35">
      <c r="B8" s="6" t="s">
        <v>61</v>
      </c>
      <c r="C8" s="6" t="s">
        <v>62</v>
      </c>
      <c r="D8" s="6" t="s">
        <v>63</v>
      </c>
    </row>
    <row r="9" spans="1:5" ht="24" customHeight="1" x14ac:dyDescent="0.35">
      <c r="B9" s="7" t="s">
        <v>64</v>
      </c>
      <c r="C9" s="8" t="s">
        <v>65</v>
      </c>
      <c r="D9" s="9" t="s">
        <v>66</v>
      </c>
    </row>
    <row r="10" spans="1:5" ht="24" customHeight="1" x14ac:dyDescent="0.35">
      <c r="B10" s="7" t="s">
        <v>67</v>
      </c>
      <c r="C10" s="8" t="s">
        <v>68</v>
      </c>
      <c r="D10" s="9"/>
    </row>
    <row r="11" spans="1:5" ht="24" customHeight="1" x14ac:dyDescent="0.35">
      <c r="B11" s="7" t="s">
        <v>69</v>
      </c>
      <c r="C11" s="8" t="s">
        <v>70</v>
      </c>
      <c r="D11" s="9"/>
    </row>
    <row r="12" spans="1:5" ht="24" customHeight="1" x14ac:dyDescent="0.35">
      <c r="B12" s="7" t="s">
        <v>71</v>
      </c>
      <c r="C12" s="8" t="s">
        <v>72</v>
      </c>
      <c r="D12" s="9"/>
    </row>
    <row r="13" spans="1:5" ht="24" customHeight="1" x14ac:dyDescent="0.35">
      <c r="B13" s="7" t="s">
        <v>73</v>
      </c>
      <c r="C13" s="10">
        <v>46204</v>
      </c>
      <c r="D13" s="9" t="s">
        <v>74</v>
      </c>
    </row>
    <row r="14" spans="1:5" ht="24" customHeight="1" x14ac:dyDescent="0.35">
      <c r="B14" s="7" t="s">
        <v>75</v>
      </c>
      <c r="C14" s="10">
        <v>46387</v>
      </c>
      <c r="D14" s="9" t="s">
        <v>76</v>
      </c>
    </row>
    <row r="15" spans="1:5" ht="24" customHeight="1" x14ac:dyDescent="0.35">
      <c r="B15" s="7" t="s">
        <v>77</v>
      </c>
      <c r="C15" s="8" t="s">
        <v>78</v>
      </c>
      <c r="D15" s="9" t="s">
        <v>79</v>
      </c>
    </row>
    <row r="16" spans="1:5" ht="24" customHeight="1" x14ac:dyDescent="0.35">
      <c r="B16" s="7" t="s">
        <v>80</v>
      </c>
      <c r="C16" s="8" t="s">
        <v>81</v>
      </c>
      <c r="D16" s="9" t="s">
        <v>82</v>
      </c>
    </row>
    <row r="17" spans="2:4" ht="24" customHeight="1" x14ac:dyDescent="0.35">
      <c r="B17" s="7" t="s">
        <v>83</v>
      </c>
      <c r="C17" s="11">
        <v>250000</v>
      </c>
      <c r="D17" s="9" t="s">
        <v>84</v>
      </c>
    </row>
    <row r="18" spans="2:4" ht="24" customHeight="1" x14ac:dyDescent="0.35">
      <c r="B18" s="7" t="s">
        <v>85</v>
      </c>
      <c r="C18" s="11">
        <v>168000</v>
      </c>
      <c r="D18" s="9"/>
    </row>
    <row r="19" spans="2:4" ht="24" customHeight="1" x14ac:dyDescent="0.35">
      <c r="B19" s="7" t="s">
        <v>86</v>
      </c>
      <c r="C19" s="12">
        <v>0.55000000000000004</v>
      </c>
      <c r="D19" s="9" t="s">
        <v>87</v>
      </c>
    </row>
    <row r="20" spans="2:4" ht="24" customHeight="1" x14ac:dyDescent="0.35">
      <c r="B20" s="7" t="s">
        <v>88</v>
      </c>
      <c r="C20" s="8" t="s">
        <v>26</v>
      </c>
      <c r="D20" s="9" t="s">
        <v>79</v>
      </c>
    </row>
    <row r="22" spans="2:4" ht="24" customHeight="1" x14ac:dyDescent="0.35">
      <c r="B22" s="61" t="s">
        <v>89</v>
      </c>
      <c r="C22" s="62"/>
      <c r="D22" s="62"/>
    </row>
    <row r="23" spans="2:4" ht="24" customHeight="1" x14ac:dyDescent="0.35">
      <c r="B23" s="7" t="s">
        <v>90</v>
      </c>
      <c r="C23" s="13">
        <f>IF(C17="","",C17-C18)</f>
        <v>82000</v>
      </c>
      <c r="D23" s="9" t="s">
        <v>91</v>
      </c>
    </row>
    <row r="24" spans="2:4" ht="24" customHeight="1" x14ac:dyDescent="0.35">
      <c r="B24" s="7" t="s">
        <v>92</v>
      </c>
      <c r="C24" s="14">
        <f>IF(OR(C17="",C17=0),"",C18/C17)</f>
        <v>0.67200000000000004</v>
      </c>
      <c r="D24" s="9" t="s">
        <v>93</v>
      </c>
    </row>
    <row r="25" spans="2:4" ht="24" customHeight="1" x14ac:dyDescent="0.35">
      <c r="B25" s="7" t="s">
        <v>94</v>
      </c>
      <c r="C25" s="14">
        <f ca="1">IF(OR(C13="",C14="",C14&lt;=C13),"",MAX(0,MIN(1,(TODAY()-C13)/(C14-C13))))</f>
        <v>0.49726775956284153</v>
      </c>
      <c r="D25" s="9" t="s">
        <v>95</v>
      </c>
    </row>
    <row r="26" spans="2:4" ht="24" customHeight="1" x14ac:dyDescent="0.35">
      <c r="B26" s="7" t="s">
        <v>96</v>
      </c>
      <c r="C26" s="13">
        <f ca="1">IF(C14="","",C14-TODAY())</f>
        <v>92</v>
      </c>
      <c r="D26" s="9" t="s">
        <v>97</v>
      </c>
    </row>
    <row r="27" spans="2:4" ht="24" customHeight="1" x14ac:dyDescent="0.35">
      <c r="B27" s="7" t="s">
        <v>98</v>
      </c>
      <c r="C27" s="15" t="str">
        <f ca="1">IF(OR(C19="",C25=""),"",IF(C19&gt;=C25,"Ahead of time",IF(C25-C19&lt;=0.1,"Slightly behind","Behind schedule")))</f>
        <v>Ahead of time</v>
      </c>
      <c r="D27" s="9" t="s">
        <v>99</v>
      </c>
    </row>
    <row r="29" spans="2:4" x14ac:dyDescent="0.35">
      <c r="B29" s="69" t="s">
        <v>58</v>
      </c>
      <c r="C29" s="49"/>
      <c r="D29" s="49"/>
    </row>
  </sheetData>
  <mergeCells count="4">
    <mergeCell ref="B29:D29"/>
    <mergeCell ref="B3:D3"/>
    <mergeCell ref="B2:D2"/>
    <mergeCell ref="B22:D22"/>
  </mergeCells>
  <conditionalFormatting sqref="C16">
    <cfRule type="cellIs" dxfId="50" priority="1" operator="equal">
      <formula>"Green"</formula>
    </cfRule>
    <cfRule type="cellIs" dxfId="49" priority="2" operator="equal">
      <formula>"Amber"</formula>
    </cfRule>
    <cfRule type="cellIs" dxfId="48" priority="3" operator="equal">
      <formula>"Red"</formula>
    </cfRule>
  </conditionalFormatting>
  <conditionalFormatting sqref="C23">
    <cfRule type="cellIs" dxfId="47" priority="4" operator="lessThan">
      <formula>0</formula>
    </cfRule>
  </conditionalFormatting>
  <conditionalFormatting sqref="C27">
    <cfRule type="cellIs" dxfId="46" priority="5" operator="equal">
      <formula>"Behind schedule"</formula>
    </cfRule>
    <cfRule type="cellIs" dxfId="45" priority="6" operator="equal">
      <formula>"Slightly behind"</formula>
    </cfRule>
    <cfRule type="cellIs" dxfId="44" priority="7" operator="equal">
      <formula>"Ahead of time"</formula>
    </cfRule>
  </conditionalFormatting>
  <dataValidations count="6">
    <dataValidation type="list" allowBlank="1" showErrorMessage="1" errorTitle="Invalid entry" error="Please pick a value from the list." sqref="C15" xr:uid="{00000000-0002-0000-0100-000000000000}">
      <formula1>"Initiation,Planning,Execution,Monitoring,Closing"</formula1>
    </dataValidation>
    <dataValidation type="list" allowBlank="1" showErrorMessage="1" errorTitle="Invalid entry" error="Please pick a value from the list." sqref="C16" xr:uid="{00000000-0002-0000-0100-000001000000}">
      <formula1>"Green,Amber,Red"</formula1>
    </dataValidation>
    <dataValidation type="list" allowBlank="1" showErrorMessage="1" errorTitle="Invalid entry" error="Please pick a value from the list." sqref="C20" xr:uid="{00000000-0002-0000-0100-000002000000}">
      <formula1>"On Track,At Risk,Delayed"</formula1>
    </dataValidation>
    <dataValidation type="date" allowBlank="1" showErrorMessage="1" errorTitle="Invalid entry" error="Please enter a date." sqref="C13:C14" xr:uid="{00000000-0002-0000-0100-000003000000}">
      <formula1>36526</formula1>
      <formula2>73051</formula2>
    </dataValidation>
    <dataValidation type="decimal" allowBlank="1" showErrorMessage="1" errorTitle="Invalid entry" error="Please enter a positive number." sqref="C17:C18" xr:uid="{00000000-0002-0000-0100-000004000000}">
      <formula1>0</formula1>
      <formula2>1000000000000</formula2>
    </dataValidation>
    <dataValidation type="decimal" allowBlank="1" showErrorMessage="1" errorTitle="Invalid entry" error="Enter a percentage between 0% and 100%." sqref="C19" xr:uid="{00000000-0002-0000-0100-000005000000}">
      <formula1>0</formula1>
      <formula2>1</formula2>
    </dataValidation>
  </dataValidations>
  <hyperlinks>
    <hyperlink ref="B29" r:id="rId1" xr:uid="{00000000-0004-0000-0100-000000000000}"/>
  </hyperlinks>
  <printOptions horizontalCentered="1"/>
  <pageMargins left="0.4" right="0.4" top="0.5" bottom="0.5" header="0.5" footer="0.5"/>
  <pageSetup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A2E40"/>
    <pageSetUpPr fitToPage="1"/>
  </sheetPr>
  <dimension ref="A1:L29"/>
  <sheetViews>
    <sheetView showGridLines="0" zoomScale="110" zoomScaleNormal="110" workbookViewId="0">
      <pane ySplit="8" topLeftCell="A9" activePane="bottomLeft" state="frozen"/>
      <selection pane="bottomLeft" activeCell="X22" sqref="X22"/>
    </sheetView>
  </sheetViews>
  <sheetFormatPr defaultRowHeight="14.5" x14ac:dyDescent="0.35"/>
  <cols>
    <col min="1" max="1" width="3" customWidth="1"/>
    <col min="2" max="2" width="5" customWidth="1"/>
    <col min="3" max="3" width="26" customWidth="1"/>
    <col min="4" max="4" width="11" customWidth="1"/>
    <col min="5" max="5" width="9" customWidth="1"/>
    <col min="6" max="7" width="10" customWidth="1"/>
    <col min="8" max="9" width="40" customWidth="1"/>
    <col min="10" max="10" width="3" customWidth="1"/>
    <col min="11" max="12" width="8" hidden="1" customWidth="1"/>
  </cols>
  <sheetData>
    <row r="1" spans="1:12" ht="8" customHeight="1" x14ac:dyDescent="0.35">
      <c r="A1" s="1"/>
      <c r="B1" s="1"/>
      <c r="C1" s="1"/>
      <c r="D1" s="1"/>
      <c r="E1" s="1"/>
      <c r="F1" s="1"/>
      <c r="G1" s="1"/>
      <c r="H1" s="1"/>
      <c r="I1" s="1"/>
      <c r="J1" s="1"/>
    </row>
    <row r="2" spans="1:12" ht="34" customHeight="1" x14ac:dyDescent="0.35">
      <c r="A2" s="1"/>
      <c r="B2" s="72" t="s">
        <v>100</v>
      </c>
      <c r="C2" s="49"/>
      <c r="D2" s="49"/>
      <c r="E2" s="49"/>
      <c r="F2" s="49"/>
      <c r="G2" s="49"/>
      <c r="H2" s="49"/>
      <c r="I2" s="49"/>
      <c r="J2" s="1"/>
    </row>
    <row r="3" spans="1:12" ht="22" customHeight="1" x14ac:dyDescent="0.35">
      <c r="A3" s="1"/>
      <c r="B3" s="68" t="s">
        <v>101</v>
      </c>
      <c r="C3" s="49"/>
      <c r="D3" s="49"/>
      <c r="E3" s="49"/>
      <c r="F3" s="49"/>
      <c r="G3" s="49"/>
      <c r="H3" s="49"/>
      <c r="I3" s="49"/>
      <c r="J3" s="1"/>
    </row>
    <row r="4" spans="1:12" ht="4" customHeight="1" x14ac:dyDescent="0.35">
      <c r="A4" s="2"/>
      <c r="B4" s="2"/>
      <c r="C4" s="2"/>
      <c r="D4" s="2"/>
      <c r="E4" s="2"/>
      <c r="F4" s="2"/>
      <c r="G4" s="2"/>
      <c r="H4" s="2"/>
      <c r="I4" s="2"/>
      <c r="J4" s="2"/>
    </row>
    <row r="6" spans="1:12" ht="18" customHeight="1" x14ac:dyDescent="0.35">
      <c r="H6" s="4" t="s">
        <v>49</v>
      </c>
      <c r="I6" s="5" t="s">
        <v>51</v>
      </c>
    </row>
    <row r="8" spans="1:12" ht="32" customHeight="1" x14ac:dyDescent="0.35">
      <c r="B8" s="6" t="s">
        <v>102</v>
      </c>
      <c r="C8" s="6" t="s">
        <v>103</v>
      </c>
      <c r="D8" s="6" t="s">
        <v>104</v>
      </c>
      <c r="E8" s="6" t="s">
        <v>105</v>
      </c>
      <c r="F8" s="6" t="s">
        <v>106</v>
      </c>
      <c r="G8" s="6" t="s">
        <v>107</v>
      </c>
      <c r="H8" s="6" t="s">
        <v>108</v>
      </c>
      <c r="I8" s="6" t="s">
        <v>109</v>
      </c>
    </row>
    <row r="9" spans="1:12" ht="30" customHeight="1" x14ac:dyDescent="0.35">
      <c r="B9" s="16">
        <v>1</v>
      </c>
      <c r="C9" s="7" t="s">
        <v>110</v>
      </c>
      <c r="D9" s="17" t="s">
        <v>81</v>
      </c>
      <c r="E9" s="18">
        <v>1</v>
      </c>
      <c r="F9" s="19">
        <f t="shared" ref="F9:F18" si="0">IF(D9="Green",90,IF(D9="Amber",65,IF(D9="Red",25,"")))</f>
        <v>65</v>
      </c>
      <c r="G9" s="20">
        <f t="shared" ref="G9:G18" si="1">IF(F9="","",F9*E9)</f>
        <v>65</v>
      </c>
      <c r="H9" s="21" t="s">
        <v>111</v>
      </c>
      <c r="I9" s="21" t="s">
        <v>112</v>
      </c>
      <c r="K9">
        <f t="shared" ref="K9:K18" si="2">IF(F9="","",F9-E9/100+ROW()/100000)</f>
        <v>64.990089999999995</v>
      </c>
      <c r="L9">
        <f t="shared" ref="L9:L18" si="3">IF(K9="","",COUNTIF($K$9:$K$18,"&lt;"&amp;K9)+1)</f>
        <v>5</v>
      </c>
    </row>
    <row r="10" spans="1:12" ht="30" customHeight="1" x14ac:dyDescent="0.35">
      <c r="B10" s="16">
        <v>2</v>
      </c>
      <c r="C10" s="7" t="s">
        <v>113</v>
      </c>
      <c r="D10" s="17" t="s">
        <v>114</v>
      </c>
      <c r="E10" s="18">
        <v>1.5</v>
      </c>
      <c r="F10" s="19">
        <f t="shared" si="0"/>
        <v>25</v>
      </c>
      <c r="G10" s="20">
        <f t="shared" si="1"/>
        <v>37.5</v>
      </c>
      <c r="H10" s="21" t="s">
        <v>115</v>
      </c>
      <c r="I10" s="21" t="s">
        <v>116</v>
      </c>
      <c r="K10">
        <f t="shared" si="2"/>
        <v>24.985099999999999</v>
      </c>
      <c r="L10">
        <f t="shared" si="3"/>
        <v>1</v>
      </c>
    </row>
    <row r="11" spans="1:12" ht="30" customHeight="1" x14ac:dyDescent="0.35">
      <c r="B11" s="16">
        <v>3</v>
      </c>
      <c r="C11" s="7" t="s">
        <v>117</v>
      </c>
      <c r="D11" s="17" t="s">
        <v>81</v>
      </c>
      <c r="E11" s="18">
        <v>1.5</v>
      </c>
      <c r="F11" s="19">
        <f t="shared" si="0"/>
        <v>65</v>
      </c>
      <c r="G11" s="20">
        <f t="shared" si="1"/>
        <v>97.5</v>
      </c>
      <c r="H11" s="21" t="s">
        <v>118</v>
      </c>
      <c r="I11" s="21" t="s">
        <v>119</v>
      </c>
      <c r="K11">
        <f t="shared" si="2"/>
        <v>64.985110000000006</v>
      </c>
      <c r="L11">
        <f t="shared" si="3"/>
        <v>2</v>
      </c>
    </row>
    <row r="12" spans="1:12" ht="30" customHeight="1" x14ac:dyDescent="0.35">
      <c r="B12" s="16">
        <v>4</v>
      </c>
      <c r="C12" s="7" t="s">
        <v>120</v>
      </c>
      <c r="D12" s="17" t="s">
        <v>121</v>
      </c>
      <c r="E12" s="18">
        <v>1</v>
      </c>
      <c r="F12" s="19">
        <f t="shared" si="0"/>
        <v>90</v>
      </c>
      <c r="G12" s="20">
        <f t="shared" si="1"/>
        <v>90</v>
      </c>
      <c r="H12" s="21" t="s">
        <v>122</v>
      </c>
      <c r="I12" s="21" t="s">
        <v>123</v>
      </c>
      <c r="K12">
        <f t="shared" si="2"/>
        <v>89.99011999999999</v>
      </c>
      <c r="L12">
        <f t="shared" si="3"/>
        <v>7</v>
      </c>
    </row>
    <row r="13" spans="1:12" ht="30" customHeight="1" x14ac:dyDescent="0.35">
      <c r="B13" s="16">
        <v>5</v>
      </c>
      <c r="C13" s="7" t="s">
        <v>124</v>
      </c>
      <c r="D13" s="17" t="s">
        <v>121</v>
      </c>
      <c r="E13" s="18">
        <v>1</v>
      </c>
      <c r="F13" s="19">
        <f t="shared" si="0"/>
        <v>90</v>
      </c>
      <c r="G13" s="20">
        <f t="shared" si="1"/>
        <v>90</v>
      </c>
      <c r="H13" s="21" t="s">
        <v>125</v>
      </c>
      <c r="I13" s="21" t="s">
        <v>126</v>
      </c>
      <c r="K13">
        <f t="shared" si="2"/>
        <v>89.990129999999994</v>
      </c>
      <c r="L13">
        <f t="shared" si="3"/>
        <v>8</v>
      </c>
    </row>
    <row r="14" spans="1:12" ht="36.4" customHeight="1" x14ac:dyDescent="0.35">
      <c r="B14" s="16">
        <v>6</v>
      </c>
      <c r="C14" s="7" t="s">
        <v>127</v>
      </c>
      <c r="D14" s="17" t="s">
        <v>81</v>
      </c>
      <c r="E14" s="18">
        <v>1.5</v>
      </c>
      <c r="F14" s="19">
        <f t="shared" si="0"/>
        <v>65</v>
      </c>
      <c r="G14" s="20">
        <f t="shared" si="1"/>
        <v>97.5</v>
      </c>
      <c r="H14" s="21" t="s">
        <v>128</v>
      </c>
      <c r="I14" s="21" t="s">
        <v>129</v>
      </c>
      <c r="K14">
        <f t="shared" si="2"/>
        <v>64.985140000000001</v>
      </c>
      <c r="L14">
        <f t="shared" si="3"/>
        <v>3</v>
      </c>
    </row>
    <row r="15" spans="1:12" ht="30" customHeight="1" x14ac:dyDescent="0.35">
      <c r="B15" s="16">
        <v>7</v>
      </c>
      <c r="C15" s="7" t="s">
        <v>130</v>
      </c>
      <c r="D15" s="17" t="s">
        <v>121</v>
      </c>
      <c r="E15" s="18">
        <v>1</v>
      </c>
      <c r="F15" s="19">
        <f t="shared" si="0"/>
        <v>90</v>
      </c>
      <c r="G15" s="20">
        <f t="shared" si="1"/>
        <v>90</v>
      </c>
      <c r="H15" s="21" t="s">
        <v>131</v>
      </c>
      <c r="I15" s="21" t="s">
        <v>132</v>
      </c>
      <c r="K15">
        <f t="shared" si="2"/>
        <v>89.99015</v>
      </c>
      <c r="L15">
        <f t="shared" si="3"/>
        <v>9</v>
      </c>
    </row>
    <row r="16" spans="1:12" ht="30" customHeight="1" x14ac:dyDescent="0.35">
      <c r="B16" s="16">
        <v>8</v>
      </c>
      <c r="C16" s="7" t="s">
        <v>133</v>
      </c>
      <c r="D16" s="17" t="s">
        <v>121</v>
      </c>
      <c r="E16" s="18">
        <v>0.75</v>
      </c>
      <c r="F16" s="19">
        <f t="shared" si="0"/>
        <v>90</v>
      </c>
      <c r="G16" s="20">
        <f t="shared" si="1"/>
        <v>67.5</v>
      </c>
      <c r="H16" s="21" t="s">
        <v>134</v>
      </c>
      <c r="I16" s="21" t="s">
        <v>123</v>
      </c>
      <c r="K16">
        <f t="shared" si="2"/>
        <v>89.992660000000001</v>
      </c>
      <c r="L16">
        <f t="shared" si="3"/>
        <v>10</v>
      </c>
    </row>
    <row r="17" spans="2:12" ht="30" customHeight="1" x14ac:dyDescent="0.35">
      <c r="B17" s="16">
        <v>9</v>
      </c>
      <c r="C17" s="7" t="s">
        <v>135</v>
      </c>
      <c r="D17" s="17" t="s">
        <v>81</v>
      </c>
      <c r="E17" s="18">
        <v>0.75</v>
      </c>
      <c r="F17" s="19">
        <f t="shared" si="0"/>
        <v>65</v>
      </c>
      <c r="G17" s="20">
        <f t="shared" si="1"/>
        <v>48.75</v>
      </c>
      <c r="H17" s="21" t="s">
        <v>136</v>
      </c>
      <c r="I17" s="21" t="s">
        <v>137</v>
      </c>
      <c r="K17">
        <f t="shared" si="2"/>
        <v>64.992670000000004</v>
      </c>
      <c r="L17">
        <f t="shared" si="3"/>
        <v>6</v>
      </c>
    </row>
    <row r="18" spans="2:12" ht="30" customHeight="1" x14ac:dyDescent="0.35">
      <c r="B18" s="16">
        <v>10</v>
      </c>
      <c r="C18" s="7" t="s">
        <v>138</v>
      </c>
      <c r="D18" s="17" t="s">
        <v>81</v>
      </c>
      <c r="E18" s="18">
        <v>1.5</v>
      </c>
      <c r="F18" s="19">
        <f t="shared" si="0"/>
        <v>65</v>
      </c>
      <c r="G18" s="20">
        <f t="shared" si="1"/>
        <v>97.5</v>
      </c>
      <c r="H18" s="21" t="s">
        <v>139</v>
      </c>
      <c r="I18" s="21" t="s">
        <v>140</v>
      </c>
      <c r="K18">
        <f t="shared" si="2"/>
        <v>64.98518</v>
      </c>
      <c r="L18">
        <f t="shared" si="3"/>
        <v>4</v>
      </c>
    </row>
    <row r="20" spans="2:12" ht="24" customHeight="1" x14ac:dyDescent="0.35">
      <c r="B20" s="61" t="s">
        <v>141</v>
      </c>
      <c r="C20" s="62"/>
      <c r="D20" s="62"/>
      <c r="E20" s="62"/>
      <c r="F20" s="62"/>
      <c r="H20" s="61" t="s">
        <v>142</v>
      </c>
      <c r="I20" s="62"/>
    </row>
    <row r="21" spans="2:12" ht="24" customHeight="1" x14ac:dyDescent="0.35">
      <c r="B21" s="83" t="s">
        <v>143</v>
      </c>
      <c r="C21" s="45"/>
      <c r="D21" s="45"/>
      <c r="E21" s="87">
        <f>IF(COUNTA(D9:D18)=0,"",IFERROR(ROUND(SUM(G9:G18)/SUMIF(D9:D18,"&lt;&gt;",E9:E18),0),""))</f>
        <v>68</v>
      </c>
      <c r="F21" s="81"/>
      <c r="H21" s="6" t="s">
        <v>103</v>
      </c>
      <c r="I21" s="6" t="s">
        <v>109</v>
      </c>
    </row>
    <row r="22" spans="2:12" ht="34" customHeight="1" x14ac:dyDescent="0.35">
      <c r="B22" s="83" t="s">
        <v>144</v>
      </c>
      <c r="C22" s="45"/>
      <c r="D22" s="45"/>
      <c r="E22" s="84" t="str">
        <f>IF(E21="","Not rated yet",IF(E21&gt;=90,"Excellent",IF(E21&gt;=75,"Healthy",IF(E21&gt;=60,"Attention Required",IF(E21&gt;=40,"At Risk","Critical")))))</f>
        <v>Attention Required</v>
      </c>
      <c r="F22" s="81"/>
      <c r="H22" s="23" t="str">
        <f>IFERROR(IF(INDEX($D$9:$D$18,MATCH(1,$L$9:$L$18,0))="Green","—",1&amp;".  "&amp;INDEX($C$9:$C$18,MATCH(1,$L$9:$L$18,0))&amp;"  ("&amp;INDEX($D$9:$D$18,MATCH(1,$L$9:$L$18,0))&amp;")"),"—")</f>
        <v>1.  Schedule  (Red)</v>
      </c>
      <c r="I22" s="24" t="str">
        <f>IFERROR(IF(INDEX($D$9:$D$18,MATCH(1,$L$9:$L$18,0))="Green","",INDEX($I$9:$I$18,MATCH(1,$L$9:$L$18,0))),"")</f>
        <v>Add resources or replan the critical path.</v>
      </c>
    </row>
    <row r="23" spans="2:12" ht="34" customHeight="1" x14ac:dyDescent="0.35">
      <c r="B23" s="83" t="s">
        <v>145</v>
      </c>
      <c r="C23" s="45"/>
      <c r="D23" s="45"/>
      <c r="E23" s="84" t="str">
        <f>IF(E21="","",IF(E21&gt;=75,"Green",IF(E21&gt;=60,"Amber","Red")))</f>
        <v>Amber</v>
      </c>
      <c r="F23" s="81"/>
      <c r="H23" s="23" t="str">
        <f>IFERROR(IF(INDEX($D$9:$D$18,MATCH(2,$L$9:$L$18,0))="Green","—",2&amp;".  "&amp;INDEX($C$9:$C$18,MATCH(2,$L$9:$L$18,0))&amp;"  ("&amp;INDEX($D$9:$D$18,MATCH(2,$L$9:$L$18,0))&amp;")"),"—")</f>
        <v>2.  Budget  (Amber)</v>
      </c>
      <c r="I23" s="24" t="str">
        <f>IFERROR(IF(INDEX($D$9:$D$18,MATCH(2,$L$9:$L$18,0))="Green","",INDEX($I$9:$I$18,MATCH(2,$L$9:$L$18,0))),"")</f>
        <v>Tighten the forecast and review remaining spend.</v>
      </c>
    </row>
    <row r="24" spans="2:12" ht="34" customHeight="1" x14ac:dyDescent="0.35">
      <c r="B24" s="83" t="s">
        <v>146</v>
      </c>
      <c r="C24" s="45"/>
      <c r="D24" s="45"/>
      <c r="E24" s="84" t="str">
        <f>COUNTA(D9:D18)&amp;" of 10"</f>
        <v>10 of 10</v>
      </c>
      <c r="F24" s="81"/>
      <c r="H24" s="23" t="str">
        <f>IFERROR(IF(INDEX($D$9:$D$18,MATCH(3,$L$9:$L$18,0))="Green","—",3&amp;".  "&amp;INDEX($C$9:$C$18,MATCH(3,$L$9:$L$18,0))&amp;"  ("&amp;INDEX($D$9:$D$18,MATCH(3,$L$9:$L$18,0))&amp;")"),"—")</f>
        <v>3.  Risks  (Amber)</v>
      </c>
      <c r="I24" s="24" t="str">
        <f>IFERROR(IF(INDEX($D$9:$D$18,MATCH(3,$L$9:$L$18,0))="Green","",INDEX($I$9:$I$18,MATCH(3,$L$9:$L$18,0))),"")</f>
        <v>Escalate the vendor risk and confirm the delivery date.</v>
      </c>
    </row>
    <row r="25" spans="2:12" ht="24" customHeight="1" x14ac:dyDescent="0.35">
      <c r="B25" s="83" t="s">
        <v>121</v>
      </c>
      <c r="C25" s="45"/>
      <c r="D25" s="45"/>
      <c r="E25" s="86">
        <f>COUNTIF(D9:D18,"Green")</f>
        <v>4</v>
      </c>
      <c r="F25" s="81"/>
      <c r="H25" s="85" t="s">
        <v>147</v>
      </c>
      <c r="I25" s="49"/>
    </row>
    <row r="26" spans="2:12" ht="24" customHeight="1" x14ac:dyDescent="0.35">
      <c r="B26" s="83" t="s">
        <v>81</v>
      </c>
      <c r="C26" s="45"/>
      <c r="D26" s="45"/>
      <c r="E26" s="86">
        <f>COUNTIF(D9:D18,"Amber")</f>
        <v>5</v>
      </c>
      <c r="F26" s="81"/>
    </row>
    <row r="27" spans="2:12" ht="24" customHeight="1" x14ac:dyDescent="0.35">
      <c r="B27" s="83" t="s">
        <v>114</v>
      </c>
      <c r="C27" s="45"/>
      <c r="D27" s="45"/>
      <c r="E27" s="86">
        <f>COUNTIF(D9:D18,"Red")</f>
        <v>1</v>
      </c>
      <c r="F27" s="81"/>
    </row>
    <row r="29" spans="2:12" x14ac:dyDescent="0.35">
      <c r="B29" s="69" t="s">
        <v>58</v>
      </c>
      <c r="C29" s="49"/>
      <c r="D29" s="49"/>
      <c r="E29" s="49"/>
      <c r="F29" s="49"/>
      <c r="G29" s="49"/>
      <c r="H29" s="49"/>
      <c r="I29" s="49"/>
    </row>
  </sheetData>
  <mergeCells count="20">
    <mergeCell ref="H25:I25"/>
    <mergeCell ref="B2:I2"/>
    <mergeCell ref="B24:D24"/>
    <mergeCell ref="B29:I29"/>
    <mergeCell ref="B26:D26"/>
    <mergeCell ref="E27:F27"/>
    <mergeCell ref="E26:F26"/>
    <mergeCell ref="B25:D25"/>
    <mergeCell ref="B20:F20"/>
    <mergeCell ref="E25:F25"/>
    <mergeCell ref="B22:D22"/>
    <mergeCell ref="B27:D27"/>
    <mergeCell ref="E22:F22"/>
    <mergeCell ref="B21:D21"/>
    <mergeCell ref="E21:F21"/>
    <mergeCell ref="H20:I20"/>
    <mergeCell ref="B23:D23"/>
    <mergeCell ref="E24:F24"/>
    <mergeCell ref="B3:I3"/>
    <mergeCell ref="E23:F23"/>
  </mergeCells>
  <conditionalFormatting sqref="D9:D18">
    <cfRule type="cellIs" dxfId="43" priority="1" operator="equal">
      <formula>"Green"</formula>
    </cfRule>
    <cfRule type="cellIs" dxfId="42" priority="2" operator="equal">
      <formula>"Amber"</formula>
    </cfRule>
    <cfRule type="cellIs" dxfId="41" priority="3" operator="equal">
      <formula>"Red"</formula>
    </cfRule>
  </conditionalFormatting>
  <conditionalFormatting sqref="E21">
    <cfRule type="expression" dxfId="40" priority="7">
      <formula>$E$23="Green"</formula>
    </cfRule>
    <cfRule type="expression" dxfId="39" priority="8">
      <formula>$E$23="Amber"</formula>
    </cfRule>
    <cfRule type="expression" dxfId="38" priority="9">
      <formula>$E$23="Red"</formula>
    </cfRule>
  </conditionalFormatting>
  <conditionalFormatting sqref="E23">
    <cfRule type="cellIs" dxfId="37" priority="4" operator="equal">
      <formula>"Green"</formula>
    </cfRule>
    <cfRule type="cellIs" dxfId="36" priority="5" operator="equal">
      <formula>"Amber"</formula>
    </cfRule>
    <cfRule type="cellIs" dxfId="35" priority="6" operator="equal">
      <formula>"Red"</formula>
    </cfRule>
  </conditionalFormatting>
  <dataValidations count="2">
    <dataValidation type="list" allowBlank="1" showErrorMessage="1" errorTitle="Invalid entry" error="Please pick a value from the list." sqref="D9:D18" xr:uid="{00000000-0002-0000-0200-000000000000}">
      <formula1>"Green,Amber,Red"</formula1>
    </dataValidation>
    <dataValidation type="decimal" allowBlank="1" showErrorMessage="1" errorTitle="Invalid entry" error="Weight must be between 0 and 5." sqref="E9:E18" xr:uid="{00000000-0002-0000-0200-000001000000}">
      <formula1>0</formula1>
      <formula2>5</formula2>
    </dataValidation>
  </dataValidations>
  <hyperlinks>
    <hyperlink ref="B29" r:id="rId1" xr:uid="{00000000-0004-0000-0200-000000000000}"/>
  </hyperlinks>
  <printOptions horizontalCentered="1"/>
  <pageMargins left="0.4" right="0.4" top="0.5" bottom="0.5" header="0.5" footer="0.5"/>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A2E40"/>
    <pageSetUpPr fitToPage="1"/>
  </sheetPr>
  <dimension ref="A1:N31"/>
  <sheetViews>
    <sheetView showGridLines="0" zoomScale="110" zoomScaleNormal="110" workbookViewId="0">
      <pane ySplit="8" topLeftCell="A9" activePane="bottomLeft" state="frozen"/>
      <selection pane="bottomLeft" activeCell="AA39" sqref="AA39"/>
    </sheetView>
  </sheetViews>
  <sheetFormatPr defaultRowHeight="14.5" x14ac:dyDescent="0.35"/>
  <cols>
    <col min="1" max="1" width="3" customWidth="1"/>
    <col min="2" max="2" width="7" customWidth="1"/>
    <col min="3" max="3" width="14" customWidth="1"/>
    <col min="4" max="4" width="26" customWidth="1"/>
    <col min="5" max="5" width="36" customWidth="1"/>
    <col min="6" max="7" width="12" customWidth="1"/>
    <col min="8" max="8" width="11" customWidth="1"/>
    <col min="9" max="9" width="8" customWidth="1"/>
    <col min="10" max="10" width="11" customWidth="1"/>
    <col min="11" max="12" width="13" customWidth="1"/>
    <col min="13" max="13" width="40" customWidth="1"/>
    <col min="14" max="14" width="3" customWidth="1"/>
  </cols>
  <sheetData>
    <row r="1" spans="1:14" ht="8" customHeight="1" x14ac:dyDescent="0.35">
      <c r="A1" s="1"/>
      <c r="B1" s="1"/>
      <c r="C1" s="1"/>
      <c r="D1" s="1"/>
      <c r="E1" s="1"/>
      <c r="F1" s="1"/>
      <c r="G1" s="1"/>
      <c r="H1" s="1"/>
      <c r="I1" s="1"/>
      <c r="J1" s="1"/>
      <c r="K1" s="1"/>
      <c r="L1" s="1"/>
      <c r="M1" s="1"/>
      <c r="N1" s="1"/>
    </row>
    <row r="2" spans="1:14" ht="34" customHeight="1" x14ac:dyDescent="0.35">
      <c r="A2" s="1"/>
      <c r="B2" s="72" t="s">
        <v>148</v>
      </c>
      <c r="C2" s="49"/>
      <c r="D2" s="49"/>
      <c r="E2" s="49"/>
      <c r="F2" s="49"/>
      <c r="G2" s="49"/>
      <c r="H2" s="49"/>
      <c r="I2" s="49"/>
      <c r="J2" s="49"/>
      <c r="K2" s="49"/>
      <c r="L2" s="49"/>
      <c r="M2" s="49"/>
      <c r="N2" s="1"/>
    </row>
    <row r="3" spans="1:14" ht="22" customHeight="1" x14ac:dyDescent="0.35">
      <c r="A3" s="1"/>
      <c r="B3" s="68" t="s">
        <v>149</v>
      </c>
      <c r="C3" s="49"/>
      <c r="D3" s="49"/>
      <c r="E3" s="49"/>
      <c r="F3" s="49"/>
      <c r="G3" s="49"/>
      <c r="H3" s="49"/>
      <c r="I3" s="49"/>
      <c r="J3" s="49"/>
      <c r="K3" s="49"/>
      <c r="L3" s="49"/>
      <c r="M3" s="49"/>
      <c r="N3" s="1"/>
    </row>
    <row r="4" spans="1:14" ht="4" customHeight="1" x14ac:dyDescent="0.35">
      <c r="A4" s="2"/>
      <c r="B4" s="2"/>
      <c r="C4" s="2"/>
      <c r="D4" s="2"/>
      <c r="E4" s="2"/>
      <c r="F4" s="2"/>
      <c r="G4" s="2"/>
      <c r="H4" s="2"/>
      <c r="I4" s="2"/>
      <c r="J4" s="2"/>
      <c r="K4" s="2"/>
      <c r="L4" s="2"/>
      <c r="M4" s="2"/>
      <c r="N4" s="2"/>
    </row>
    <row r="6" spans="1:14" ht="18" customHeight="1" x14ac:dyDescent="0.35">
      <c r="L6" s="4" t="s">
        <v>49</v>
      </c>
      <c r="M6" s="5" t="s">
        <v>51</v>
      </c>
    </row>
    <row r="8" spans="1:14" ht="32" customHeight="1" x14ac:dyDescent="0.35">
      <c r="B8" s="6" t="s">
        <v>150</v>
      </c>
      <c r="C8" s="6" t="s">
        <v>151</v>
      </c>
      <c r="D8" s="6" t="s">
        <v>152</v>
      </c>
      <c r="E8" s="6" t="s">
        <v>153</v>
      </c>
      <c r="F8" s="6" t="s">
        <v>154</v>
      </c>
      <c r="G8" s="6" t="s">
        <v>155</v>
      </c>
      <c r="H8" s="6" t="s">
        <v>156</v>
      </c>
      <c r="I8" s="6" t="s">
        <v>157</v>
      </c>
      <c r="J8" s="6" t="s">
        <v>158</v>
      </c>
      <c r="K8" s="6" t="s">
        <v>159</v>
      </c>
      <c r="L8" s="6" t="s">
        <v>160</v>
      </c>
      <c r="M8" s="6" t="s">
        <v>161</v>
      </c>
    </row>
    <row r="9" spans="1:14" ht="30" customHeight="1" x14ac:dyDescent="0.35">
      <c r="B9" s="26" t="str">
        <f>IF(C9="","",LEFT(C9,1)&amp;COUNTIF($C$9:C9,C9))</f>
        <v>R1</v>
      </c>
      <c r="C9" s="8" t="s">
        <v>162</v>
      </c>
      <c r="D9" s="21" t="s">
        <v>163</v>
      </c>
      <c r="E9" s="21" t="s">
        <v>164</v>
      </c>
      <c r="F9" s="8" t="s">
        <v>165</v>
      </c>
      <c r="G9" s="17" t="s">
        <v>166</v>
      </c>
      <c r="H9" s="17" t="s">
        <v>167</v>
      </c>
      <c r="I9" s="25">
        <f t="shared" ref="I9:I18" si="0">IF(OR(C9="",H9=""),"",IF(IF(C9="Issue",3,IF(G9="High",3,IF(G9="Medium",2,IF(G9="Low",1,0))))=0,"",IF(C9="Issue",3,IF(G9="High",3,IF(G9="Medium",2,IF(G9="Low",1,0))))*IF(H9="High",3,IF(H9="Medium",2,IF(H9="Low",1,0)))))</f>
        <v>6</v>
      </c>
      <c r="J9" s="22" t="str">
        <f t="shared" ref="J9:J18" si="1">IF(I9="","",IF(I9&gt;=6,"High",IF(I9&gt;=3,"Medium","Low")))</f>
        <v>High</v>
      </c>
      <c r="K9" s="17" t="s">
        <v>168</v>
      </c>
      <c r="L9" s="27">
        <v>46297</v>
      </c>
      <c r="M9" s="21" t="s">
        <v>169</v>
      </c>
    </row>
    <row r="10" spans="1:14" ht="30" customHeight="1" x14ac:dyDescent="0.35">
      <c r="B10" s="26" t="str">
        <f>IF(C10="","",LEFT(C10,1)&amp;COUNTIF($C$9:C10,C10))</f>
        <v>I1</v>
      </c>
      <c r="C10" s="8" t="s">
        <v>170</v>
      </c>
      <c r="D10" s="21" t="s">
        <v>171</v>
      </c>
      <c r="E10" s="21" t="s">
        <v>172</v>
      </c>
      <c r="F10" s="8" t="s">
        <v>173</v>
      </c>
      <c r="G10" s="17"/>
      <c r="H10" s="17" t="s">
        <v>167</v>
      </c>
      <c r="I10" s="25">
        <f t="shared" si="0"/>
        <v>9</v>
      </c>
      <c r="J10" s="22" t="str">
        <f t="shared" si="1"/>
        <v>High</v>
      </c>
      <c r="K10" s="17" t="s">
        <v>174</v>
      </c>
      <c r="L10" s="27">
        <v>46301</v>
      </c>
      <c r="M10" s="21" t="s">
        <v>175</v>
      </c>
    </row>
    <row r="11" spans="1:14" ht="30" customHeight="1" x14ac:dyDescent="0.35">
      <c r="B11" s="26" t="str">
        <f>IF(C11="","",LEFT(C11,1)&amp;COUNTIF($C$9:C11,C11))</f>
        <v>D1</v>
      </c>
      <c r="C11" s="8" t="s">
        <v>176</v>
      </c>
      <c r="D11" s="21" t="s">
        <v>177</v>
      </c>
      <c r="E11" s="21" t="s">
        <v>178</v>
      </c>
      <c r="F11" s="8" t="s">
        <v>179</v>
      </c>
      <c r="G11" s="17" t="s">
        <v>180</v>
      </c>
      <c r="H11" s="17" t="s">
        <v>167</v>
      </c>
      <c r="I11" s="25">
        <f t="shared" si="0"/>
        <v>3</v>
      </c>
      <c r="J11" s="22" t="str">
        <f t="shared" si="1"/>
        <v>Medium</v>
      </c>
      <c r="K11" s="17" t="s">
        <v>181</v>
      </c>
      <c r="L11" s="27">
        <v>46296</v>
      </c>
      <c r="M11" s="21" t="s">
        <v>182</v>
      </c>
    </row>
    <row r="12" spans="1:14" ht="30" customHeight="1" x14ac:dyDescent="0.35">
      <c r="B12" s="26" t="str">
        <f>IF(C12="","",LEFT(C12,1)&amp;COUNTIF($C$9:C12,C12))</f>
        <v>A1</v>
      </c>
      <c r="C12" s="8" t="s">
        <v>183</v>
      </c>
      <c r="D12" s="21" t="s">
        <v>184</v>
      </c>
      <c r="E12" s="21" t="s">
        <v>185</v>
      </c>
      <c r="F12" s="8" t="s">
        <v>165</v>
      </c>
      <c r="G12" s="17" t="s">
        <v>166</v>
      </c>
      <c r="H12" s="17" t="s">
        <v>166</v>
      </c>
      <c r="I12" s="25">
        <f t="shared" si="0"/>
        <v>4</v>
      </c>
      <c r="J12" s="22" t="str">
        <f t="shared" si="1"/>
        <v>Medium</v>
      </c>
      <c r="K12" s="17" t="s">
        <v>174</v>
      </c>
      <c r="L12" s="27">
        <v>46304</v>
      </c>
      <c r="M12" s="21" t="s">
        <v>186</v>
      </c>
    </row>
    <row r="13" spans="1:14" ht="30" customHeight="1" x14ac:dyDescent="0.35">
      <c r="B13" s="26" t="str">
        <f>IF(C13="","",LEFT(C13,1)&amp;COUNTIF($C$9:C13,C13))</f>
        <v/>
      </c>
      <c r="C13" s="8"/>
      <c r="D13" s="21"/>
      <c r="E13" s="21"/>
      <c r="F13" s="8"/>
      <c r="G13" s="17"/>
      <c r="H13" s="17"/>
      <c r="I13" s="25" t="str">
        <f t="shared" si="0"/>
        <v/>
      </c>
      <c r="J13" s="22" t="str">
        <f t="shared" si="1"/>
        <v/>
      </c>
      <c r="K13" s="17"/>
      <c r="L13" s="27"/>
      <c r="M13" s="21"/>
    </row>
    <row r="14" spans="1:14" ht="30" customHeight="1" x14ac:dyDescent="0.35">
      <c r="B14" s="26" t="str">
        <f>IF(C14="","",LEFT(C14,1)&amp;COUNTIF($C$9:C14,C14))</f>
        <v/>
      </c>
      <c r="C14" s="8"/>
      <c r="D14" s="21"/>
      <c r="E14" s="21"/>
      <c r="F14" s="8"/>
      <c r="G14" s="17"/>
      <c r="H14" s="17"/>
      <c r="I14" s="25" t="str">
        <f t="shared" si="0"/>
        <v/>
      </c>
      <c r="J14" s="22" t="str">
        <f t="shared" si="1"/>
        <v/>
      </c>
      <c r="K14" s="17"/>
      <c r="L14" s="27"/>
      <c r="M14" s="21"/>
    </row>
    <row r="15" spans="1:14" ht="30" customHeight="1" x14ac:dyDescent="0.35">
      <c r="B15" s="26" t="str">
        <f>IF(C15="","",LEFT(C15,1)&amp;COUNTIF($C$9:C15,C15))</f>
        <v/>
      </c>
      <c r="C15" s="8"/>
      <c r="D15" s="21"/>
      <c r="E15" s="21"/>
      <c r="F15" s="8"/>
      <c r="G15" s="17"/>
      <c r="H15" s="17"/>
      <c r="I15" s="25" t="str">
        <f t="shared" si="0"/>
        <v/>
      </c>
      <c r="J15" s="22" t="str">
        <f t="shared" si="1"/>
        <v/>
      </c>
      <c r="K15" s="17"/>
      <c r="L15" s="27"/>
      <c r="M15" s="21"/>
    </row>
    <row r="16" spans="1:14" ht="30" customHeight="1" x14ac:dyDescent="0.35">
      <c r="B16" s="26" t="str">
        <f>IF(C16="","",LEFT(C16,1)&amp;COUNTIF($C$9:C16,C16))</f>
        <v/>
      </c>
      <c r="C16" s="8"/>
      <c r="D16" s="21"/>
      <c r="E16" s="21"/>
      <c r="F16" s="8"/>
      <c r="G16" s="17"/>
      <c r="H16" s="17"/>
      <c r="I16" s="25" t="str">
        <f t="shared" si="0"/>
        <v/>
      </c>
      <c r="J16" s="22" t="str">
        <f t="shared" si="1"/>
        <v/>
      </c>
      <c r="K16" s="17"/>
      <c r="L16" s="27"/>
      <c r="M16" s="21"/>
    </row>
    <row r="17" spans="2:13" ht="30" customHeight="1" x14ac:dyDescent="0.35">
      <c r="B17" s="26" t="str">
        <f>IF(C17="","",LEFT(C17,1)&amp;COUNTIF($C$9:C17,C17))</f>
        <v/>
      </c>
      <c r="C17" s="8"/>
      <c r="D17" s="21"/>
      <c r="E17" s="21"/>
      <c r="F17" s="8"/>
      <c r="G17" s="17"/>
      <c r="H17" s="17"/>
      <c r="I17" s="25" t="str">
        <f t="shared" si="0"/>
        <v/>
      </c>
      <c r="J17" s="22" t="str">
        <f t="shared" si="1"/>
        <v/>
      </c>
      <c r="K17" s="17"/>
      <c r="L17" s="27"/>
      <c r="M17" s="21"/>
    </row>
    <row r="18" spans="2:13" ht="30" customHeight="1" x14ac:dyDescent="0.35">
      <c r="B18" s="26" t="str">
        <f>IF(C18="","",LEFT(C18,1)&amp;COUNTIF($C$9:C18,C18))</f>
        <v/>
      </c>
      <c r="C18" s="8"/>
      <c r="D18" s="21"/>
      <c r="E18" s="21"/>
      <c r="F18" s="8"/>
      <c r="G18" s="17"/>
      <c r="H18" s="17"/>
      <c r="I18" s="25" t="str">
        <f t="shared" si="0"/>
        <v/>
      </c>
      <c r="J18" s="22" t="str">
        <f t="shared" si="1"/>
        <v/>
      </c>
      <c r="K18" s="17"/>
      <c r="L18" s="27"/>
      <c r="M18" s="21"/>
    </row>
    <row r="19" spans="2:13" ht="20" customHeight="1" x14ac:dyDescent="0.35">
      <c r="B19" s="88" t="s">
        <v>187</v>
      </c>
      <c r="C19" s="49"/>
      <c r="D19" s="49"/>
      <c r="E19" s="49"/>
      <c r="F19" s="49"/>
      <c r="G19" s="49"/>
      <c r="H19" s="49"/>
      <c r="I19" s="49"/>
      <c r="J19" s="49"/>
      <c r="K19" s="49"/>
      <c r="L19" s="49"/>
      <c r="M19" s="49"/>
    </row>
    <row r="21" spans="2:13" ht="24" customHeight="1" x14ac:dyDescent="0.35">
      <c r="B21" s="61" t="s">
        <v>141</v>
      </c>
      <c r="C21" s="62"/>
      <c r="D21" s="62"/>
      <c r="E21" s="62"/>
      <c r="G21" s="61" t="s">
        <v>188</v>
      </c>
      <c r="H21" s="62"/>
      <c r="I21" s="62"/>
      <c r="J21" s="62"/>
      <c r="K21" s="62"/>
      <c r="L21" s="62"/>
      <c r="M21" s="62"/>
    </row>
    <row r="22" spans="2:13" ht="22" customHeight="1" x14ac:dyDescent="0.35">
      <c r="B22" s="83" t="s">
        <v>189</v>
      </c>
      <c r="C22" s="45"/>
      <c r="D22" s="45"/>
      <c r="E22" s="25">
        <f>COUNTA(C9:C18)</f>
        <v>4</v>
      </c>
    </row>
    <row r="23" spans="2:13" ht="22" customHeight="1" x14ac:dyDescent="0.35">
      <c r="B23" s="83" t="s">
        <v>190</v>
      </c>
      <c r="C23" s="45"/>
      <c r="D23" s="45"/>
      <c r="E23" s="25">
        <f>COUNTIFS(C9:C18,"&lt;&gt;",K9:K18,"&lt;&gt;Closed")</f>
        <v>4</v>
      </c>
    </row>
    <row r="24" spans="2:13" ht="22" customHeight="1" x14ac:dyDescent="0.35">
      <c r="B24" s="83" t="s">
        <v>191</v>
      </c>
      <c r="C24" s="45"/>
      <c r="D24" s="45"/>
      <c r="E24" s="25">
        <f>COUNTIFS(J9:J18,"High",K9:K18,"&lt;&gt;Closed")</f>
        <v>2</v>
      </c>
    </row>
    <row r="25" spans="2:13" ht="22" customHeight="1" x14ac:dyDescent="0.35">
      <c r="B25" s="83" t="s">
        <v>192</v>
      </c>
      <c r="C25" s="45"/>
      <c r="D25" s="45"/>
      <c r="E25" s="25">
        <f ca="1">COUNTIFS(L9:L18,"&lt;"&amp;TODAY(),K9:K18,"&lt;&gt;Closed")</f>
        <v>0</v>
      </c>
    </row>
    <row r="26" spans="2:13" ht="22" customHeight="1" x14ac:dyDescent="0.35">
      <c r="B26" s="83" t="s">
        <v>127</v>
      </c>
      <c r="C26" s="45"/>
      <c r="D26" s="45"/>
      <c r="E26" s="25">
        <f>COUNTIF(C9:C18,"Risk")</f>
        <v>1</v>
      </c>
    </row>
    <row r="27" spans="2:13" ht="22" customHeight="1" x14ac:dyDescent="0.35">
      <c r="B27" s="83" t="s">
        <v>193</v>
      </c>
      <c r="C27" s="45"/>
      <c r="D27" s="45"/>
      <c r="E27" s="25">
        <f>COUNTIF(C9:C18,"Assumption")</f>
        <v>1</v>
      </c>
    </row>
    <row r="28" spans="2:13" ht="22" customHeight="1" x14ac:dyDescent="0.35">
      <c r="B28" s="83" t="s">
        <v>194</v>
      </c>
      <c r="C28" s="45"/>
      <c r="D28" s="45"/>
      <c r="E28" s="25">
        <f>COUNTIF(C9:C18,"Issue")</f>
        <v>1</v>
      </c>
    </row>
    <row r="29" spans="2:13" ht="22" customHeight="1" x14ac:dyDescent="0.35">
      <c r="B29" s="83" t="s">
        <v>130</v>
      </c>
      <c r="C29" s="45"/>
      <c r="D29" s="45"/>
      <c r="E29" s="25">
        <f>COUNTIF(C9:C18,"Dependency")</f>
        <v>1</v>
      </c>
    </row>
    <row r="31" spans="2:13" x14ac:dyDescent="0.35">
      <c r="B31" s="69" t="s">
        <v>58</v>
      </c>
      <c r="C31" s="49"/>
      <c r="D31" s="49"/>
      <c r="E31" s="49"/>
      <c r="F31" s="49"/>
      <c r="G31" s="49"/>
      <c r="H31" s="49"/>
      <c r="I31" s="49"/>
      <c r="J31" s="49"/>
      <c r="K31" s="49"/>
      <c r="L31" s="49"/>
      <c r="M31" s="49"/>
    </row>
  </sheetData>
  <mergeCells count="14">
    <mergeCell ref="B31:M31"/>
    <mergeCell ref="B21:E21"/>
    <mergeCell ref="B26:D26"/>
    <mergeCell ref="B27:D27"/>
    <mergeCell ref="G21:M21"/>
    <mergeCell ref="B29:D29"/>
    <mergeCell ref="B25:D25"/>
    <mergeCell ref="B24:D24"/>
    <mergeCell ref="B28:D28"/>
    <mergeCell ref="B2:M2"/>
    <mergeCell ref="B3:M3"/>
    <mergeCell ref="B19:M19"/>
    <mergeCell ref="B23:D23"/>
    <mergeCell ref="B22:D22"/>
  </mergeCells>
  <conditionalFormatting sqref="B9:M18">
    <cfRule type="expression" dxfId="34" priority="5">
      <formula>$K9="Closed"</formula>
    </cfRule>
  </conditionalFormatting>
  <conditionalFormatting sqref="E24:E25">
    <cfRule type="cellIs" dxfId="33" priority="6" operator="greaterThan">
      <formula>0</formula>
    </cfRule>
  </conditionalFormatting>
  <conditionalFormatting sqref="J9:J18">
    <cfRule type="cellIs" dxfId="32" priority="1" operator="equal">
      <formula>"High"</formula>
    </cfRule>
    <cfRule type="cellIs" dxfId="31" priority="2" operator="equal">
      <formula>"Medium"</formula>
    </cfRule>
    <cfRule type="cellIs" dxfId="30" priority="3" operator="equal">
      <formula>"Low"</formula>
    </cfRule>
  </conditionalFormatting>
  <conditionalFormatting sqref="L9:L18">
    <cfRule type="expression" dxfId="29" priority="4">
      <formula>AND(L9&lt;&gt;"",L9&lt;TODAY(),K9&lt;&gt;"Closed")</formula>
    </cfRule>
  </conditionalFormatting>
  <dataValidations count="4">
    <dataValidation type="list" allowBlank="1" showErrorMessage="1" errorTitle="Invalid entry" error="Please pick a value from the list." sqref="C9:C18" xr:uid="{00000000-0002-0000-0300-000000000000}">
      <formula1>"Risk,Assumption,Issue,Dependency"</formula1>
    </dataValidation>
    <dataValidation type="list" allowBlank="1" showErrorMessage="1" errorTitle="Invalid entry" error="Please pick a value from the list." sqref="G9:H18" xr:uid="{00000000-0002-0000-0300-000001000000}">
      <formula1>"Low,Medium,High"</formula1>
    </dataValidation>
    <dataValidation type="list" allowBlank="1" showErrorMessage="1" errorTitle="Invalid entry" error="Please pick a value from the list." sqref="K9:K18" xr:uid="{00000000-0002-0000-0300-000002000000}">
      <formula1>"Open,Monitoring,Escalated,Closed"</formula1>
    </dataValidation>
    <dataValidation type="date" allowBlank="1" showErrorMessage="1" errorTitle="Invalid entry" error="Please enter a date." sqref="L9:L18" xr:uid="{00000000-0002-0000-0300-000003000000}">
      <formula1>36526</formula1>
      <formula2>73051</formula2>
    </dataValidation>
  </dataValidations>
  <hyperlinks>
    <hyperlink ref="B31" r:id="rId1" xr:uid="{00000000-0004-0000-0300-000000000000}"/>
  </hyperlinks>
  <printOptions horizontalCentered="1"/>
  <pageMargins left="0.4" right="0.4" top="0.5" bottom="0.5" header="0.5" footer="0.5"/>
  <pageSetup fitToHeight="0" orientation="landscape"/>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A2E40"/>
    <pageSetUpPr fitToPage="1"/>
  </sheetPr>
  <dimension ref="A1:K30"/>
  <sheetViews>
    <sheetView showGridLines="0" workbookViewId="0">
      <pane ySplit="8" topLeftCell="A9" activePane="bottomLeft" state="frozen"/>
      <selection pane="bottomLeft"/>
    </sheetView>
  </sheetViews>
  <sheetFormatPr defaultRowHeight="14.5" x14ac:dyDescent="0.35"/>
  <cols>
    <col min="1" max="1" width="3" customWidth="1"/>
    <col min="2" max="2" width="30" customWidth="1"/>
    <col min="3" max="3" width="13" customWidth="1"/>
    <col min="4" max="4" width="14" customWidth="1"/>
    <col min="5" max="5" width="16" customWidth="1"/>
    <col min="6" max="6" width="11" customWidth="1"/>
    <col min="7" max="7" width="13" customWidth="1"/>
    <col min="8" max="8" width="11" customWidth="1"/>
    <col min="9" max="9" width="16" customWidth="1"/>
    <col min="10" max="10" width="40" customWidth="1"/>
    <col min="11" max="11" width="3" customWidth="1"/>
  </cols>
  <sheetData>
    <row r="1" spans="1:11" ht="8" customHeight="1" x14ac:dyDescent="0.35">
      <c r="A1" s="1"/>
      <c r="B1" s="1"/>
      <c r="C1" s="1"/>
      <c r="D1" s="1"/>
      <c r="E1" s="1"/>
      <c r="F1" s="1"/>
      <c r="G1" s="1"/>
      <c r="H1" s="1"/>
      <c r="I1" s="1"/>
      <c r="J1" s="1"/>
      <c r="K1" s="1"/>
    </row>
    <row r="2" spans="1:11" ht="34" customHeight="1" x14ac:dyDescent="0.35">
      <c r="A2" s="1"/>
      <c r="B2" s="72" t="s">
        <v>195</v>
      </c>
      <c r="C2" s="49"/>
      <c r="D2" s="49"/>
      <c r="E2" s="49"/>
      <c r="F2" s="49"/>
      <c r="G2" s="49"/>
      <c r="H2" s="49"/>
      <c r="I2" s="49"/>
      <c r="J2" s="49"/>
      <c r="K2" s="1"/>
    </row>
    <row r="3" spans="1:11" ht="22" customHeight="1" x14ac:dyDescent="0.35">
      <c r="A3" s="1"/>
      <c r="B3" s="68" t="s">
        <v>196</v>
      </c>
      <c r="C3" s="49"/>
      <c r="D3" s="49"/>
      <c r="E3" s="49"/>
      <c r="F3" s="49"/>
      <c r="G3" s="49"/>
      <c r="H3" s="49"/>
      <c r="I3" s="49"/>
      <c r="J3" s="49"/>
      <c r="K3" s="1"/>
    </row>
    <row r="4" spans="1:11" ht="4" customHeight="1" x14ac:dyDescent="0.35">
      <c r="A4" s="2"/>
      <c r="B4" s="2"/>
      <c r="C4" s="2"/>
      <c r="D4" s="2"/>
      <c r="E4" s="2"/>
      <c r="F4" s="2"/>
      <c r="G4" s="2"/>
      <c r="H4" s="2"/>
      <c r="I4" s="2"/>
      <c r="J4" s="2"/>
      <c r="K4" s="2"/>
    </row>
    <row r="6" spans="1:11" ht="18" customHeight="1" x14ac:dyDescent="0.35">
      <c r="I6" s="4" t="s">
        <v>49</v>
      </c>
      <c r="J6" s="5" t="s">
        <v>51</v>
      </c>
    </row>
    <row r="8" spans="1:11" ht="32" customHeight="1" x14ac:dyDescent="0.35">
      <c r="B8" s="6" t="s">
        <v>197</v>
      </c>
      <c r="C8" s="6" t="s">
        <v>154</v>
      </c>
      <c r="D8" s="6" t="s">
        <v>198</v>
      </c>
      <c r="E8" s="6" t="s">
        <v>199</v>
      </c>
      <c r="F8" s="6" t="s">
        <v>200</v>
      </c>
      <c r="G8" s="6" t="s">
        <v>159</v>
      </c>
      <c r="H8" s="6" t="s">
        <v>86</v>
      </c>
      <c r="I8" s="6" t="s">
        <v>201</v>
      </c>
      <c r="J8" s="6" t="s">
        <v>202</v>
      </c>
    </row>
    <row r="9" spans="1:11" ht="26" customHeight="1" x14ac:dyDescent="0.35">
      <c r="B9" s="28" t="s">
        <v>203</v>
      </c>
      <c r="C9" s="17" t="s">
        <v>173</v>
      </c>
      <c r="D9" s="27">
        <v>46236</v>
      </c>
      <c r="E9" s="27">
        <v>46238</v>
      </c>
      <c r="F9" s="29">
        <f t="shared" ref="F9:F18" si="0">IF(OR(D9="",E9=""),"",E9-D9)</f>
        <v>2</v>
      </c>
      <c r="G9" s="17" t="s">
        <v>204</v>
      </c>
      <c r="H9" s="30">
        <v>1</v>
      </c>
      <c r="I9" s="22" t="str">
        <f t="shared" ref="I9:I18" ca="1" si="1">IF(B9="","",IF(G9="Complete","Done",IF(AND(D9&lt;&gt;"",D9&lt;TODAY()),"Overdue",IF(AND(D9&lt;&gt;"",D9-TODAY()&lt;=14),"Due soon",""))))</f>
        <v>Done</v>
      </c>
      <c r="J9" s="21" t="s">
        <v>205</v>
      </c>
    </row>
    <row r="10" spans="1:11" ht="26" customHeight="1" x14ac:dyDescent="0.35">
      <c r="B10" s="28" t="s">
        <v>206</v>
      </c>
      <c r="C10" s="17" t="s">
        <v>165</v>
      </c>
      <c r="D10" s="27">
        <v>46256</v>
      </c>
      <c r="E10" s="27">
        <v>46256</v>
      </c>
      <c r="F10" s="29">
        <f t="shared" si="0"/>
        <v>0</v>
      </c>
      <c r="G10" s="17" t="s">
        <v>204</v>
      </c>
      <c r="H10" s="30">
        <v>1</v>
      </c>
      <c r="I10" s="22" t="str">
        <f t="shared" ca="1" si="1"/>
        <v>Done</v>
      </c>
      <c r="J10" s="21" t="s">
        <v>207</v>
      </c>
    </row>
    <row r="11" spans="1:11" ht="26" customHeight="1" x14ac:dyDescent="0.35">
      <c r="B11" s="28" t="s">
        <v>208</v>
      </c>
      <c r="C11" s="17" t="s">
        <v>165</v>
      </c>
      <c r="D11" s="27">
        <v>46281</v>
      </c>
      <c r="E11" s="27">
        <v>46297</v>
      </c>
      <c r="F11" s="29">
        <f t="shared" si="0"/>
        <v>16</v>
      </c>
      <c r="G11" s="17" t="s">
        <v>209</v>
      </c>
      <c r="H11" s="30">
        <v>0.4</v>
      </c>
      <c r="I11" s="22" t="str">
        <f t="shared" ca="1" si="1"/>
        <v>Overdue</v>
      </c>
      <c r="J11" s="21" t="s">
        <v>210</v>
      </c>
    </row>
    <row r="12" spans="1:11" ht="26" customHeight="1" x14ac:dyDescent="0.35">
      <c r="B12" s="28" t="s">
        <v>211</v>
      </c>
      <c r="C12" s="17" t="s">
        <v>179</v>
      </c>
      <c r="D12" s="27">
        <v>46301</v>
      </c>
      <c r="E12" s="27">
        <v>46308</v>
      </c>
      <c r="F12" s="29">
        <f t="shared" si="0"/>
        <v>7</v>
      </c>
      <c r="G12" s="17" t="s">
        <v>26</v>
      </c>
      <c r="H12" s="30">
        <v>0.1</v>
      </c>
      <c r="I12" s="22" t="str">
        <f t="shared" ca="1" si="1"/>
        <v>Due soon</v>
      </c>
      <c r="J12" s="21" t="s">
        <v>212</v>
      </c>
    </row>
    <row r="13" spans="1:11" ht="26" customHeight="1" x14ac:dyDescent="0.35">
      <c r="B13" s="28" t="s">
        <v>213</v>
      </c>
      <c r="C13" s="17" t="s">
        <v>173</v>
      </c>
      <c r="D13" s="27">
        <v>46321</v>
      </c>
      <c r="E13" s="27"/>
      <c r="F13" s="29" t="str">
        <f t="shared" si="0"/>
        <v/>
      </c>
      <c r="G13" s="17" t="s">
        <v>214</v>
      </c>
      <c r="H13" s="30">
        <v>0</v>
      </c>
      <c r="I13" s="22" t="str">
        <f t="shared" ca="1" si="1"/>
        <v/>
      </c>
      <c r="J13" s="21"/>
    </row>
    <row r="14" spans="1:11" ht="26" customHeight="1" x14ac:dyDescent="0.35">
      <c r="B14" s="28"/>
      <c r="C14" s="17"/>
      <c r="D14" s="27"/>
      <c r="E14" s="27"/>
      <c r="F14" s="29" t="str">
        <f t="shared" si="0"/>
        <v/>
      </c>
      <c r="G14" s="17"/>
      <c r="H14" s="30"/>
      <c r="I14" s="22" t="str">
        <f t="shared" ca="1" si="1"/>
        <v/>
      </c>
      <c r="J14" s="21"/>
    </row>
    <row r="15" spans="1:11" ht="26" customHeight="1" x14ac:dyDescent="0.35">
      <c r="B15" s="28"/>
      <c r="C15" s="17"/>
      <c r="D15" s="27"/>
      <c r="E15" s="27"/>
      <c r="F15" s="29" t="str">
        <f t="shared" si="0"/>
        <v/>
      </c>
      <c r="G15" s="17"/>
      <c r="H15" s="30"/>
      <c r="I15" s="22" t="str">
        <f t="shared" ca="1" si="1"/>
        <v/>
      </c>
      <c r="J15" s="21"/>
    </row>
    <row r="16" spans="1:11" ht="26" customHeight="1" x14ac:dyDescent="0.35">
      <c r="B16" s="28"/>
      <c r="C16" s="17"/>
      <c r="D16" s="27"/>
      <c r="E16" s="27"/>
      <c r="F16" s="29" t="str">
        <f t="shared" si="0"/>
        <v/>
      </c>
      <c r="G16" s="17"/>
      <c r="H16" s="30"/>
      <c r="I16" s="22" t="str">
        <f t="shared" ca="1" si="1"/>
        <v/>
      </c>
      <c r="J16" s="21"/>
    </row>
    <row r="17" spans="2:10" ht="26" customHeight="1" x14ac:dyDescent="0.35">
      <c r="B17" s="28"/>
      <c r="C17" s="17"/>
      <c r="D17" s="27"/>
      <c r="E17" s="27"/>
      <c r="F17" s="29" t="str">
        <f t="shared" si="0"/>
        <v/>
      </c>
      <c r="G17" s="17"/>
      <c r="H17" s="30"/>
      <c r="I17" s="22" t="str">
        <f t="shared" ca="1" si="1"/>
        <v/>
      </c>
      <c r="J17" s="21"/>
    </row>
    <row r="18" spans="2:10" ht="26" customHeight="1" x14ac:dyDescent="0.35">
      <c r="B18" s="28"/>
      <c r="C18" s="17"/>
      <c r="D18" s="27"/>
      <c r="E18" s="27"/>
      <c r="F18" s="29" t="str">
        <f t="shared" si="0"/>
        <v/>
      </c>
      <c r="G18" s="17"/>
      <c r="H18" s="30"/>
      <c r="I18" s="22" t="str">
        <f t="shared" ca="1" si="1"/>
        <v/>
      </c>
      <c r="J18" s="21"/>
    </row>
    <row r="19" spans="2:10" ht="20" customHeight="1" x14ac:dyDescent="0.35">
      <c r="B19" s="88" t="s">
        <v>215</v>
      </c>
      <c r="C19" s="49"/>
      <c r="D19" s="49"/>
      <c r="E19" s="49"/>
      <c r="F19" s="49"/>
      <c r="G19" s="49"/>
      <c r="H19" s="49"/>
      <c r="I19" s="49"/>
      <c r="J19" s="49"/>
    </row>
    <row r="21" spans="2:10" ht="24" customHeight="1" x14ac:dyDescent="0.35">
      <c r="B21" s="61" t="s">
        <v>141</v>
      </c>
      <c r="C21" s="62"/>
      <c r="D21" s="62"/>
      <c r="F21" s="61" t="s">
        <v>216</v>
      </c>
      <c r="G21" s="62"/>
      <c r="H21" s="62"/>
      <c r="I21" s="62"/>
      <c r="J21" s="62"/>
    </row>
    <row r="22" spans="2:10" ht="22" customHeight="1" x14ac:dyDescent="0.35">
      <c r="B22" s="83" t="s">
        <v>217</v>
      </c>
      <c r="C22" s="45"/>
      <c r="D22" s="25">
        <f>COUNTA(B9:B18)</f>
        <v>5</v>
      </c>
    </row>
    <row r="23" spans="2:10" ht="22" customHeight="1" x14ac:dyDescent="0.35">
      <c r="B23" s="83" t="s">
        <v>204</v>
      </c>
      <c r="C23" s="45"/>
      <c r="D23" s="25">
        <f>COUNTIF(G9:G18,"Complete")</f>
        <v>2</v>
      </c>
    </row>
    <row r="24" spans="2:10" ht="22" customHeight="1" x14ac:dyDescent="0.35">
      <c r="B24" s="83" t="s">
        <v>218</v>
      </c>
      <c r="C24" s="45"/>
      <c r="D24" s="25">
        <f>COUNTIF(G9:G18,"On Track")</f>
        <v>0</v>
      </c>
    </row>
    <row r="25" spans="2:10" ht="22" customHeight="1" x14ac:dyDescent="0.35">
      <c r="B25" s="83" t="s">
        <v>26</v>
      </c>
      <c r="C25" s="45"/>
      <c r="D25" s="25">
        <f>COUNTIF(G9:G18,"At Risk")</f>
        <v>1</v>
      </c>
    </row>
    <row r="26" spans="2:10" ht="22" customHeight="1" x14ac:dyDescent="0.35">
      <c r="B26" s="83" t="s">
        <v>209</v>
      </c>
      <c r="C26" s="45"/>
      <c r="D26" s="25">
        <f>COUNTIF(G9:G18,"Delayed")</f>
        <v>1</v>
      </c>
    </row>
    <row r="27" spans="2:10" ht="22" customHeight="1" x14ac:dyDescent="0.35">
      <c r="B27" s="83" t="s">
        <v>214</v>
      </c>
      <c r="C27" s="45"/>
      <c r="D27" s="25">
        <f>COUNTIF(G9:G18,"Not Started")</f>
        <v>1</v>
      </c>
    </row>
    <row r="28" spans="2:10" ht="22" customHeight="1" x14ac:dyDescent="0.35">
      <c r="B28" s="83" t="s">
        <v>219</v>
      </c>
      <c r="C28" s="45"/>
      <c r="D28" s="25">
        <f ca="1">COUNTIF(I9:I18,"Overdue")</f>
        <v>1</v>
      </c>
    </row>
    <row r="30" spans="2:10" x14ac:dyDescent="0.35">
      <c r="B30" s="69" t="s">
        <v>58</v>
      </c>
      <c r="C30" s="49"/>
      <c r="D30" s="49"/>
      <c r="E30" s="49"/>
      <c r="F30" s="49"/>
      <c r="G30" s="49"/>
      <c r="H30" s="49"/>
      <c r="I30" s="49"/>
      <c r="J30" s="49"/>
    </row>
  </sheetData>
  <mergeCells count="13">
    <mergeCell ref="B30:J30"/>
    <mergeCell ref="B2:J2"/>
    <mergeCell ref="B28:C28"/>
    <mergeCell ref="B23:C23"/>
    <mergeCell ref="B22:C22"/>
    <mergeCell ref="B21:D21"/>
    <mergeCell ref="B26:C26"/>
    <mergeCell ref="B27:C27"/>
    <mergeCell ref="B24:C24"/>
    <mergeCell ref="B3:J3"/>
    <mergeCell ref="B19:J19"/>
    <mergeCell ref="F21:J21"/>
    <mergeCell ref="B25:C25"/>
  </mergeCells>
  <conditionalFormatting sqref="D28">
    <cfRule type="cellIs" dxfId="28" priority="9" operator="greaterThan">
      <formula>0</formula>
    </cfRule>
  </conditionalFormatting>
  <conditionalFormatting sqref="F9:F18">
    <cfRule type="cellIs" dxfId="27" priority="8" operator="greaterThan">
      <formula>0</formula>
    </cfRule>
  </conditionalFormatting>
  <conditionalFormatting sqref="G9:G18">
    <cfRule type="cellIs" dxfId="26" priority="1" operator="equal">
      <formula>"Complete"</formula>
    </cfRule>
    <cfRule type="cellIs" dxfId="25" priority="2" operator="equal">
      <formula>"On Track"</formula>
    </cfRule>
    <cfRule type="cellIs" dxfId="24" priority="3" operator="equal">
      <formula>"At Risk"</formula>
    </cfRule>
    <cfRule type="cellIs" dxfId="23" priority="4" operator="equal">
      <formula>"Delayed"</formula>
    </cfRule>
  </conditionalFormatting>
  <conditionalFormatting sqref="I9:I18">
    <cfRule type="cellIs" dxfId="22" priority="5" operator="equal">
      <formula>"Overdue"</formula>
    </cfRule>
    <cfRule type="cellIs" dxfId="21" priority="6" operator="equal">
      <formula>"Due soon"</formula>
    </cfRule>
    <cfRule type="cellIs" dxfId="20" priority="7" operator="equal">
      <formula>"Done"</formula>
    </cfRule>
  </conditionalFormatting>
  <dataValidations count="3">
    <dataValidation type="list" allowBlank="1" showErrorMessage="1" errorTitle="Invalid entry" error="Please pick a value from the list." sqref="G9:G18" xr:uid="{00000000-0002-0000-0400-000000000000}">
      <formula1>"Not Started,On Track,At Risk,Delayed,Complete"</formula1>
    </dataValidation>
    <dataValidation type="date" allowBlank="1" showErrorMessage="1" errorTitle="Invalid entry" error="Please enter a date." sqref="D9:E18" xr:uid="{00000000-0002-0000-0400-000001000000}">
      <formula1>36526</formula1>
      <formula2>73051</formula2>
    </dataValidation>
    <dataValidation type="decimal" allowBlank="1" showErrorMessage="1" errorTitle="Invalid entry" error="Enter a percentage between 0% and 100%." sqref="H9:H18" xr:uid="{00000000-0002-0000-0400-000002000000}">
      <formula1>0</formula1>
      <formula2>1</formula2>
    </dataValidation>
  </dataValidations>
  <hyperlinks>
    <hyperlink ref="B30" r:id="rId1" xr:uid="{00000000-0004-0000-0400-000000000000}"/>
  </hyperlinks>
  <printOptions horizontalCentered="1"/>
  <pageMargins left="0.4" right="0.4" top="0.5" bottom="0.5" header="0.5" footer="0.5"/>
  <pageSetup fitToHeight="0" orientation="landscape"/>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4B8A6"/>
    <pageSetUpPr fitToPage="1"/>
  </sheetPr>
  <dimension ref="A1:T59"/>
  <sheetViews>
    <sheetView showGridLines="0" workbookViewId="0">
      <selection activeCell="AD26" sqref="AD26"/>
    </sheetView>
  </sheetViews>
  <sheetFormatPr defaultRowHeight="14.5" x14ac:dyDescent="0.35"/>
  <cols>
    <col min="1" max="1" width="3" customWidth="1"/>
    <col min="2" max="13" width="12.453125" customWidth="1"/>
    <col min="14" max="15" width="3" customWidth="1"/>
    <col min="16" max="16" width="14" hidden="1" customWidth="1"/>
    <col min="17" max="20" width="10" hidden="1" customWidth="1"/>
  </cols>
  <sheetData>
    <row r="1" spans="1:19" ht="8" customHeight="1" x14ac:dyDescent="0.35">
      <c r="A1" s="1"/>
      <c r="B1" s="1"/>
      <c r="C1" s="1"/>
      <c r="D1" s="1"/>
      <c r="E1" s="1"/>
      <c r="F1" s="1"/>
      <c r="G1" s="1"/>
      <c r="H1" s="1"/>
      <c r="I1" s="1"/>
      <c r="J1" s="1"/>
      <c r="K1" s="1"/>
      <c r="L1" s="1"/>
      <c r="M1" s="1"/>
      <c r="N1" s="1"/>
    </row>
    <row r="2" spans="1:19" ht="34" customHeight="1" x14ac:dyDescent="0.35">
      <c r="A2" s="1"/>
      <c r="B2" s="72" t="s">
        <v>0</v>
      </c>
      <c r="C2" s="49"/>
      <c r="D2" s="49"/>
      <c r="E2" s="49"/>
      <c r="F2" s="49"/>
      <c r="G2" s="49"/>
      <c r="H2" s="49"/>
      <c r="I2" s="49"/>
      <c r="J2" s="49"/>
      <c r="K2" s="49"/>
      <c r="L2" s="49"/>
      <c r="M2" s="49"/>
      <c r="N2" s="1"/>
    </row>
    <row r="3" spans="1:19" ht="22" customHeight="1" x14ac:dyDescent="0.35">
      <c r="A3" s="1"/>
      <c r="B3" s="68" t="str">
        <f>"Project Health Dashboard  ·  "&amp;IF('02_PROJECT_INPUT'!$C$9="","Your project",'02_PROJECT_INPUT'!$C$9)</f>
        <v>Project Health Dashboard  ·  Sample Project Alpha</v>
      </c>
      <c r="C3" s="49"/>
      <c r="D3" s="49"/>
      <c r="E3" s="49"/>
      <c r="F3" s="49"/>
      <c r="G3" s="49"/>
      <c r="H3" s="49"/>
      <c r="I3" s="49"/>
      <c r="J3" s="49"/>
      <c r="K3" s="49"/>
      <c r="L3" s="49"/>
      <c r="M3" s="49"/>
      <c r="N3" s="1"/>
    </row>
    <row r="4" spans="1:19" ht="4" customHeight="1" x14ac:dyDescent="0.35">
      <c r="A4" s="2"/>
      <c r="B4" s="2"/>
      <c r="C4" s="2"/>
      <c r="D4" s="2"/>
      <c r="E4" s="2"/>
      <c r="F4" s="2"/>
      <c r="G4" s="2"/>
      <c r="H4" s="2"/>
      <c r="I4" s="2"/>
      <c r="J4" s="2"/>
      <c r="K4" s="2"/>
      <c r="L4" s="2"/>
      <c r="M4" s="2"/>
      <c r="N4" s="2"/>
    </row>
    <row r="5" spans="1:19" ht="10" customHeight="1" x14ac:dyDescent="0.35"/>
    <row r="6" spans="1:19" ht="22" customHeight="1" x14ac:dyDescent="0.35">
      <c r="B6" s="93" t="s">
        <v>220</v>
      </c>
      <c r="C6" s="94"/>
      <c r="D6" s="93" t="s">
        <v>221</v>
      </c>
      <c r="E6" s="94"/>
      <c r="F6" s="93" t="s">
        <v>222</v>
      </c>
      <c r="G6" s="94"/>
      <c r="H6" s="93" t="s">
        <v>223</v>
      </c>
      <c r="I6" s="94"/>
      <c r="J6" s="93" t="s">
        <v>224</v>
      </c>
      <c r="K6" s="94"/>
      <c r="L6" s="93" t="s">
        <v>225</v>
      </c>
      <c r="M6" s="94"/>
    </row>
    <row r="7" spans="1:19" ht="44" customHeight="1" x14ac:dyDescent="0.35">
      <c r="B7" s="90">
        <f>IF('03_HEALTH_CHECK'!$E$21="","–",'03_HEALTH_CHECK'!$E$21)</f>
        <v>68</v>
      </c>
      <c r="C7" s="91"/>
      <c r="D7" s="102" t="str">
        <f>IF('03_HEALTH_CHECK'!$E$23="","–",'03_HEALTH_CHECK'!$E$23)</f>
        <v>Amber</v>
      </c>
      <c r="E7" s="91"/>
      <c r="F7" s="97">
        <f>'02_PROJECT_INPUT'!$C$19</f>
        <v>0.55000000000000004</v>
      </c>
      <c r="G7" s="91"/>
      <c r="H7" s="97">
        <f>IF('02_PROJECT_INPUT'!$C$24="","–",'02_PROJECT_INPUT'!$C$24)</f>
        <v>0.67200000000000004</v>
      </c>
      <c r="I7" s="91"/>
      <c r="J7" s="102" t="str">
        <f>IF('02_PROJECT_INPUT'!$C$20="","–",'02_PROJECT_INPUT'!$C$20)</f>
        <v>At Risk</v>
      </c>
      <c r="K7" s="91"/>
      <c r="L7" s="90">
        <f>'04_RAID_LITE'!$E$23</f>
        <v>4</v>
      </c>
      <c r="M7" s="91"/>
    </row>
    <row r="8" spans="1:19" ht="22" customHeight="1" x14ac:dyDescent="0.35">
      <c r="B8" s="100" t="str">
        <f>'03_HEALTH_CHECK'!$E$22</f>
        <v>Attention Required</v>
      </c>
      <c r="C8" s="101"/>
      <c r="D8" s="100" t="str">
        <f>'03_HEALTH_CHECK'!$E$25&amp;" Green · "&amp;'03_HEALTH_CHECK'!$E$26&amp;" Amber · "&amp;'03_HEALTH_CHECK'!$E$27&amp;" Red"</f>
        <v>4 Green · 5 Amber · 1 Red</v>
      </c>
      <c r="E8" s="101"/>
      <c r="F8" s="100" t="str">
        <f ca="1">IF('02_PROJECT_INPUT'!$C$25="","","Time elapsed "&amp;TEXT('02_PROJECT_INPUT'!$C$25,"0%"))</f>
        <v>Time elapsed 50%</v>
      </c>
      <c r="G8" s="101"/>
      <c r="H8" s="100" t="str">
        <f>TEXT('02_PROJECT_INPUT'!$C$18,"#,##0")&amp;" of "&amp;TEXT('02_PROJECT_INPUT'!$C$17,"#,##0")</f>
        <v>168,000 of 250,000</v>
      </c>
      <c r="I8" s="101"/>
      <c r="J8" s="100" t="str">
        <f>IF('02_PROJECT_INPUT'!$C$14="","","Target "&amp;TEXT('02_PROJECT_INPUT'!$C$14,"d mmm yyyy"))</f>
        <v>Target 31 Dec 2026</v>
      </c>
      <c r="K8" s="101"/>
      <c r="L8" s="100" t="str">
        <f ca="1">'04_RAID_LITE'!$E$24&amp;" high severity · "&amp;'04_RAID_LITE'!$E$25&amp;" overdue"</f>
        <v>2 high severity · 0 overdue</v>
      </c>
      <c r="M8" s="101"/>
    </row>
    <row r="10" spans="1:19" ht="24" customHeight="1" x14ac:dyDescent="0.35">
      <c r="B10" s="61" t="s">
        <v>226</v>
      </c>
      <c r="C10" s="62"/>
      <c r="D10" s="62"/>
      <c r="E10" s="62"/>
      <c r="F10" s="62"/>
      <c r="G10" s="62"/>
      <c r="H10" s="62"/>
      <c r="I10" s="62"/>
      <c r="J10" s="62"/>
      <c r="K10" s="62"/>
      <c r="L10" s="62"/>
      <c r="M10" s="62"/>
    </row>
    <row r="11" spans="1:19" ht="22" customHeight="1" x14ac:dyDescent="0.35">
      <c r="B11" s="98" t="s">
        <v>103</v>
      </c>
      <c r="C11" s="99"/>
      <c r="D11" s="6" t="s">
        <v>104</v>
      </c>
      <c r="E11" s="6" t="s">
        <v>106</v>
      </c>
    </row>
    <row r="12" spans="1:19" ht="19" customHeight="1" x14ac:dyDescent="0.35">
      <c r="B12" s="89" t="str">
        <f>'03_HEALTH_CHECK'!C9</f>
        <v>Scope</v>
      </c>
      <c r="C12" s="45"/>
      <c r="D12" s="31" t="str">
        <f>IF('03_HEALTH_CHECK'!D9="","",'03_HEALTH_CHECK'!D9)</f>
        <v>Amber</v>
      </c>
      <c r="E12" s="32">
        <f>IF('03_HEALTH_CHECK'!F9="","",'03_HEALTH_CHECK'!F9)</f>
        <v>65</v>
      </c>
      <c r="P12" t="str">
        <f t="shared" ref="P12:P21" si="0">B12</f>
        <v>Scope</v>
      </c>
      <c r="Q12">
        <f t="shared" ref="Q12:Q21" si="1">IF(D12="Green",E12,0)</f>
        <v>0</v>
      </c>
      <c r="R12">
        <f t="shared" ref="R12:R21" si="2">IF(D12="Amber",E12,0)</f>
        <v>65</v>
      </c>
      <c r="S12">
        <f t="shared" ref="S12:S21" si="3">IF(D12="Red",E12,0)</f>
        <v>0</v>
      </c>
    </row>
    <row r="13" spans="1:19" ht="19" customHeight="1" x14ac:dyDescent="0.35">
      <c r="B13" s="89" t="str">
        <f>'03_HEALTH_CHECK'!C10</f>
        <v>Schedule</v>
      </c>
      <c r="C13" s="45"/>
      <c r="D13" s="31" t="str">
        <f>IF('03_HEALTH_CHECK'!D10="","",'03_HEALTH_CHECK'!D10)</f>
        <v>Red</v>
      </c>
      <c r="E13" s="32">
        <f>IF('03_HEALTH_CHECK'!F10="","",'03_HEALTH_CHECK'!F10)</f>
        <v>25</v>
      </c>
      <c r="P13" t="str">
        <f t="shared" si="0"/>
        <v>Schedule</v>
      </c>
      <c r="Q13">
        <f t="shared" si="1"/>
        <v>0</v>
      </c>
      <c r="R13">
        <f t="shared" si="2"/>
        <v>0</v>
      </c>
      <c r="S13">
        <f t="shared" si="3"/>
        <v>25</v>
      </c>
    </row>
    <row r="14" spans="1:19" ht="19" customHeight="1" x14ac:dyDescent="0.35">
      <c r="B14" s="89" t="str">
        <f>'03_HEALTH_CHECK'!C11</f>
        <v>Budget</v>
      </c>
      <c r="C14" s="45"/>
      <c r="D14" s="31" t="str">
        <f>IF('03_HEALTH_CHECK'!D11="","",'03_HEALTH_CHECK'!D11)</f>
        <v>Amber</v>
      </c>
      <c r="E14" s="32">
        <f>IF('03_HEALTH_CHECK'!F11="","",'03_HEALTH_CHECK'!F11)</f>
        <v>65</v>
      </c>
      <c r="P14" t="str">
        <f t="shared" si="0"/>
        <v>Budget</v>
      </c>
      <c r="Q14">
        <f t="shared" si="1"/>
        <v>0</v>
      </c>
      <c r="R14">
        <f t="shared" si="2"/>
        <v>65</v>
      </c>
      <c r="S14">
        <f t="shared" si="3"/>
        <v>0</v>
      </c>
    </row>
    <row r="15" spans="1:19" ht="19" customHeight="1" x14ac:dyDescent="0.35">
      <c r="B15" s="89" t="str">
        <f>'03_HEALTH_CHECK'!C12</f>
        <v>Resources</v>
      </c>
      <c r="C15" s="45"/>
      <c r="D15" s="31" t="str">
        <f>IF('03_HEALTH_CHECK'!D12="","",'03_HEALTH_CHECK'!D12)</f>
        <v>Green</v>
      </c>
      <c r="E15" s="32">
        <f>IF('03_HEALTH_CHECK'!F12="","",'03_HEALTH_CHECK'!F12)</f>
        <v>90</v>
      </c>
      <c r="P15" t="str">
        <f t="shared" si="0"/>
        <v>Resources</v>
      </c>
      <c r="Q15">
        <f t="shared" si="1"/>
        <v>90</v>
      </c>
      <c r="R15">
        <f t="shared" si="2"/>
        <v>0</v>
      </c>
      <c r="S15">
        <f t="shared" si="3"/>
        <v>0</v>
      </c>
    </row>
    <row r="16" spans="1:19" ht="19" customHeight="1" x14ac:dyDescent="0.35">
      <c r="B16" s="89" t="str">
        <f>'03_HEALTH_CHECK'!C13</f>
        <v>Quality</v>
      </c>
      <c r="C16" s="45"/>
      <c r="D16" s="31" t="str">
        <f>IF('03_HEALTH_CHECK'!D13="","",'03_HEALTH_CHECK'!D13)</f>
        <v>Green</v>
      </c>
      <c r="E16" s="32">
        <f>IF('03_HEALTH_CHECK'!F13="","",'03_HEALTH_CHECK'!F13)</f>
        <v>90</v>
      </c>
      <c r="P16" t="str">
        <f t="shared" si="0"/>
        <v>Quality</v>
      </c>
      <c r="Q16">
        <f t="shared" si="1"/>
        <v>90</v>
      </c>
      <c r="R16">
        <f t="shared" si="2"/>
        <v>0</v>
      </c>
      <c r="S16">
        <f t="shared" si="3"/>
        <v>0</v>
      </c>
    </row>
    <row r="17" spans="2:19" ht="19" customHeight="1" x14ac:dyDescent="0.35">
      <c r="B17" s="89" t="str">
        <f>'03_HEALTH_CHECK'!C14</f>
        <v>Risks</v>
      </c>
      <c r="C17" s="45"/>
      <c r="D17" s="31" t="str">
        <f>IF('03_HEALTH_CHECK'!D14="","",'03_HEALTH_CHECK'!D14)</f>
        <v>Amber</v>
      </c>
      <c r="E17" s="32">
        <f>IF('03_HEALTH_CHECK'!F14="","",'03_HEALTH_CHECK'!F14)</f>
        <v>65</v>
      </c>
      <c r="P17" t="str">
        <f t="shared" si="0"/>
        <v>Risks</v>
      </c>
      <c r="Q17">
        <f t="shared" si="1"/>
        <v>0</v>
      </c>
      <c r="R17">
        <f t="shared" si="2"/>
        <v>65</v>
      </c>
      <c r="S17">
        <f t="shared" si="3"/>
        <v>0</v>
      </c>
    </row>
    <row r="18" spans="2:19" ht="19" customHeight="1" x14ac:dyDescent="0.35">
      <c r="B18" s="89" t="str">
        <f>'03_HEALTH_CHECK'!C15</f>
        <v>Dependencies</v>
      </c>
      <c r="C18" s="45"/>
      <c r="D18" s="31" t="str">
        <f>IF('03_HEALTH_CHECK'!D15="","",'03_HEALTH_CHECK'!D15)</f>
        <v>Green</v>
      </c>
      <c r="E18" s="32">
        <f>IF('03_HEALTH_CHECK'!F15="","",'03_HEALTH_CHECK'!F15)</f>
        <v>90</v>
      </c>
      <c r="P18" t="str">
        <f t="shared" si="0"/>
        <v>Dependencies</v>
      </c>
      <c r="Q18">
        <f t="shared" si="1"/>
        <v>90</v>
      </c>
      <c r="R18">
        <f t="shared" si="2"/>
        <v>0</v>
      </c>
      <c r="S18">
        <f t="shared" si="3"/>
        <v>0</v>
      </c>
    </row>
    <row r="19" spans="2:19" ht="19" customHeight="1" x14ac:dyDescent="0.35">
      <c r="B19" s="89" t="str">
        <f>'03_HEALTH_CHECK'!C16</f>
        <v>Stakeholders</v>
      </c>
      <c r="C19" s="45"/>
      <c r="D19" s="31" t="str">
        <f>IF('03_HEALTH_CHECK'!D16="","",'03_HEALTH_CHECK'!D16)</f>
        <v>Green</v>
      </c>
      <c r="E19" s="32">
        <f>IF('03_HEALTH_CHECK'!F16="","",'03_HEALTH_CHECK'!F16)</f>
        <v>90</v>
      </c>
      <c r="P19" t="str">
        <f t="shared" si="0"/>
        <v>Stakeholders</v>
      </c>
      <c r="Q19">
        <f t="shared" si="1"/>
        <v>90</v>
      </c>
      <c r="R19">
        <f t="shared" si="2"/>
        <v>0</v>
      </c>
      <c r="S19">
        <f t="shared" si="3"/>
        <v>0</v>
      </c>
    </row>
    <row r="20" spans="2:19" ht="19" customHeight="1" x14ac:dyDescent="0.35">
      <c r="B20" s="89" t="str">
        <f>'03_HEALTH_CHECK'!C17</f>
        <v>Communication</v>
      </c>
      <c r="C20" s="45"/>
      <c r="D20" s="31" t="str">
        <f>IF('03_HEALTH_CHECK'!D17="","",'03_HEALTH_CHECK'!D17)</f>
        <v>Amber</v>
      </c>
      <c r="E20" s="32">
        <f>IF('03_HEALTH_CHECK'!F17="","",'03_HEALTH_CHECK'!F17)</f>
        <v>65</v>
      </c>
      <c r="P20" t="str">
        <f t="shared" si="0"/>
        <v>Communication</v>
      </c>
      <c r="Q20">
        <f t="shared" si="1"/>
        <v>0</v>
      </c>
      <c r="R20">
        <f t="shared" si="2"/>
        <v>65</v>
      </c>
      <c r="S20">
        <f t="shared" si="3"/>
        <v>0</v>
      </c>
    </row>
    <row r="21" spans="2:19" ht="19" customHeight="1" x14ac:dyDescent="0.35">
      <c r="B21" s="89" t="str">
        <f>'03_HEALTH_CHECK'!C18</f>
        <v>Delivery Readiness</v>
      </c>
      <c r="C21" s="45"/>
      <c r="D21" s="31" t="str">
        <f>IF('03_HEALTH_CHECK'!D18="","",'03_HEALTH_CHECK'!D18)</f>
        <v>Amber</v>
      </c>
      <c r="E21" s="32">
        <f>IF('03_HEALTH_CHECK'!F18="","",'03_HEALTH_CHECK'!F18)</f>
        <v>65</v>
      </c>
      <c r="P21" t="str">
        <f t="shared" si="0"/>
        <v>Delivery Readiness</v>
      </c>
      <c r="Q21">
        <f t="shared" si="1"/>
        <v>0</v>
      </c>
      <c r="R21">
        <f t="shared" si="2"/>
        <v>65</v>
      </c>
      <c r="S21">
        <f t="shared" si="3"/>
        <v>0</v>
      </c>
    </row>
    <row r="23" spans="2:19" ht="24" customHeight="1" x14ac:dyDescent="0.35">
      <c r="B23" s="61" t="s">
        <v>227</v>
      </c>
      <c r="C23" s="62"/>
      <c r="D23" s="62"/>
      <c r="E23" s="62"/>
      <c r="F23" s="62"/>
      <c r="G23" s="62"/>
      <c r="H23" s="62"/>
      <c r="I23" s="62"/>
      <c r="J23" s="62"/>
      <c r="K23" s="62"/>
      <c r="L23" s="62"/>
      <c r="M23" s="62"/>
      <c r="P23" t="s">
        <v>121</v>
      </c>
      <c r="Q23">
        <f>'03_HEALTH_CHECK'!$E$25</f>
        <v>4</v>
      </c>
    </row>
    <row r="24" spans="2:19" ht="26" customHeight="1" x14ac:dyDescent="0.35">
      <c r="B24" s="95" t="str">
        <f>'03_HEALTH_CHECK'!H22</f>
        <v>1.  Schedule  (Red)</v>
      </c>
      <c r="C24" s="76"/>
      <c r="D24" s="76"/>
      <c r="E24" s="76"/>
      <c r="F24" s="92" t="str">
        <f>IF('03_HEALTH_CHECK'!I22="","",'03_HEALTH_CHECK'!I22)</f>
        <v>Add resources or replan the critical path.</v>
      </c>
      <c r="G24" s="45"/>
      <c r="H24" s="45"/>
      <c r="I24" s="45"/>
      <c r="J24" s="45"/>
      <c r="K24" s="45"/>
      <c r="L24" s="45"/>
      <c r="M24" s="45"/>
      <c r="P24" t="s">
        <v>81</v>
      </c>
      <c r="Q24">
        <f>'03_HEALTH_CHECK'!$E$26</f>
        <v>5</v>
      </c>
    </row>
    <row r="25" spans="2:19" ht="26" customHeight="1" x14ac:dyDescent="0.35">
      <c r="B25" s="95" t="str">
        <f>'03_HEALTH_CHECK'!H23</f>
        <v>2.  Budget  (Amber)</v>
      </c>
      <c r="C25" s="76"/>
      <c r="D25" s="76"/>
      <c r="E25" s="76"/>
      <c r="F25" s="92" t="str">
        <f>IF('03_HEALTH_CHECK'!I23="","",'03_HEALTH_CHECK'!I23)</f>
        <v>Tighten the forecast and review remaining spend.</v>
      </c>
      <c r="G25" s="45"/>
      <c r="H25" s="45"/>
      <c r="I25" s="45"/>
      <c r="J25" s="45"/>
      <c r="K25" s="45"/>
      <c r="L25" s="45"/>
      <c r="M25" s="45"/>
      <c r="P25" t="s">
        <v>114</v>
      </c>
      <c r="Q25">
        <f>'03_HEALTH_CHECK'!$E$27</f>
        <v>1</v>
      </c>
    </row>
    <row r="26" spans="2:19" ht="26" customHeight="1" x14ac:dyDescent="0.35">
      <c r="B26" s="95" t="str">
        <f>'03_HEALTH_CHECK'!H24</f>
        <v>3.  Risks  (Amber)</v>
      </c>
      <c r="C26" s="76"/>
      <c r="D26" s="76"/>
      <c r="E26" s="76"/>
      <c r="F26" s="92" t="str">
        <f>IF('03_HEALTH_CHECK'!I24="","",'03_HEALTH_CHECK'!I24)</f>
        <v>Escalate the vendor risk and confirm the delivery date.</v>
      </c>
      <c r="G26" s="45"/>
      <c r="H26" s="45"/>
      <c r="I26" s="45"/>
      <c r="J26" s="45"/>
      <c r="K26" s="45"/>
      <c r="L26" s="45"/>
      <c r="M26" s="45"/>
    </row>
    <row r="27" spans="2:19" x14ac:dyDescent="0.35">
      <c r="P27" t="s">
        <v>204</v>
      </c>
      <c r="Q27">
        <f>'05_MILESTONES'!$D$23</f>
        <v>2</v>
      </c>
    </row>
    <row r="28" spans="2:19" ht="24" customHeight="1" x14ac:dyDescent="0.35">
      <c r="B28" s="61" t="s">
        <v>228</v>
      </c>
      <c r="C28" s="62"/>
      <c r="D28" s="62"/>
      <c r="E28" s="62"/>
      <c r="F28" s="61" t="s">
        <v>216</v>
      </c>
      <c r="G28" s="62"/>
      <c r="H28" s="62"/>
      <c r="I28" s="62"/>
      <c r="J28" s="61" t="s">
        <v>229</v>
      </c>
      <c r="K28" s="62"/>
      <c r="L28" s="62"/>
      <c r="M28" s="62"/>
      <c r="P28" t="s">
        <v>218</v>
      </c>
      <c r="Q28">
        <f>'05_MILESTONES'!$D$24</f>
        <v>0</v>
      </c>
    </row>
    <row r="29" spans="2:19" ht="18" customHeight="1" x14ac:dyDescent="0.35">
      <c r="P29" t="s">
        <v>26</v>
      </c>
      <c r="Q29">
        <f>'05_MILESTONES'!$D$25</f>
        <v>1</v>
      </c>
    </row>
    <row r="30" spans="2:19" ht="18" customHeight="1" x14ac:dyDescent="0.35">
      <c r="P30" t="s">
        <v>209</v>
      </c>
      <c r="Q30">
        <f>'05_MILESTONES'!$D$26</f>
        <v>1</v>
      </c>
    </row>
    <row r="31" spans="2:19" ht="18" customHeight="1" x14ac:dyDescent="0.35">
      <c r="P31" t="s">
        <v>214</v>
      </c>
      <c r="Q31">
        <f>'05_MILESTONES'!$D$27</f>
        <v>1</v>
      </c>
    </row>
    <row r="32" spans="2:19" ht="18" customHeight="1" x14ac:dyDescent="0.35"/>
    <row r="33" spans="2:17" ht="18" customHeight="1" x14ac:dyDescent="0.35">
      <c r="P33" t="s">
        <v>127</v>
      </c>
      <c r="Q33">
        <f>'04_RAID_LITE'!$E$26</f>
        <v>1</v>
      </c>
    </row>
    <row r="34" spans="2:17" ht="18" customHeight="1" x14ac:dyDescent="0.35">
      <c r="P34" t="s">
        <v>193</v>
      </c>
      <c r="Q34">
        <f>'04_RAID_LITE'!$E$27</f>
        <v>1</v>
      </c>
    </row>
    <row r="35" spans="2:17" ht="18" customHeight="1" x14ac:dyDescent="0.35">
      <c r="P35" t="s">
        <v>194</v>
      </c>
      <c r="Q35">
        <f>'04_RAID_LITE'!$E$28</f>
        <v>1</v>
      </c>
    </row>
    <row r="36" spans="2:17" ht="18" customHeight="1" x14ac:dyDescent="0.35">
      <c r="P36" t="s">
        <v>130</v>
      </c>
      <c r="Q36">
        <f>'04_RAID_LITE'!$E$29</f>
        <v>1</v>
      </c>
    </row>
    <row r="37" spans="2:17" ht="18" customHeight="1" x14ac:dyDescent="0.35"/>
    <row r="38" spans="2:17" ht="18" customHeight="1" x14ac:dyDescent="0.35"/>
    <row r="39" spans="2:17" ht="18" customHeight="1" x14ac:dyDescent="0.35"/>
    <row r="40" spans="2:17" ht="18" customHeight="1" x14ac:dyDescent="0.35"/>
    <row r="42" spans="2:17" ht="24" customHeight="1" x14ac:dyDescent="0.35">
      <c r="B42" s="61" t="s">
        <v>230</v>
      </c>
      <c r="C42" s="62"/>
      <c r="D42" s="62"/>
      <c r="E42" s="62"/>
      <c r="F42" s="62"/>
      <c r="G42" s="62"/>
      <c r="H42" s="62"/>
      <c r="I42" s="62"/>
      <c r="J42" s="62"/>
      <c r="K42" s="62"/>
      <c r="L42" s="62"/>
      <c r="M42" s="62"/>
    </row>
    <row r="43" spans="2:17" ht="18" customHeight="1" x14ac:dyDescent="0.35"/>
    <row r="44" spans="2:17" ht="18" customHeight="1" x14ac:dyDescent="0.35"/>
    <row r="45" spans="2:17" ht="18" customHeight="1" x14ac:dyDescent="0.35"/>
    <row r="46" spans="2:17" ht="18" customHeight="1" x14ac:dyDescent="0.35"/>
    <row r="47" spans="2:17" ht="18" customHeight="1" x14ac:dyDescent="0.35"/>
    <row r="48" spans="2:17" ht="18" customHeight="1" x14ac:dyDescent="0.35"/>
    <row r="49" spans="2:13" ht="18" customHeight="1" x14ac:dyDescent="0.35"/>
    <row r="50" spans="2:13" ht="18" customHeight="1" x14ac:dyDescent="0.35"/>
    <row r="51" spans="2:13" ht="18" customHeight="1" x14ac:dyDescent="0.35"/>
    <row r="52" spans="2:13" ht="18" customHeight="1" x14ac:dyDescent="0.35"/>
    <row r="53" spans="2:13" ht="18" customHeight="1" x14ac:dyDescent="0.35"/>
    <row r="54" spans="2:13" ht="18" customHeight="1" x14ac:dyDescent="0.35"/>
    <row r="56" spans="2:13" ht="26" customHeight="1" x14ac:dyDescent="0.35">
      <c r="B56" s="103" t="s">
        <v>231</v>
      </c>
      <c r="C56" s="53"/>
      <c r="D56" s="53"/>
      <c r="E56" s="53"/>
      <c r="F56" s="53"/>
      <c r="G56" s="53"/>
      <c r="H56" s="53"/>
      <c r="I56" s="53"/>
      <c r="J56" s="53"/>
      <c r="K56" s="53"/>
      <c r="L56" s="53"/>
      <c r="M56" s="53"/>
    </row>
    <row r="57" spans="2:13" ht="22" customHeight="1" x14ac:dyDescent="0.35">
      <c r="B57" s="96" t="s">
        <v>55</v>
      </c>
      <c r="C57" s="53"/>
      <c r="D57" s="53"/>
      <c r="E57" s="53"/>
      <c r="F57" s="53"/>
      <c r="G57" s="53"/>
      <c r="H57" s="53"/>
      <c r="I57" s="53"/>
      <c r="J57" s="53"/>
      <c r="K57" s="53"/>
      <c r="L57" s="53"/>
      <c r="M57" s="53"/>
    </row>
    <row r="59" spans="2:13" x14ac:dyDescent="0.35">
      <c r="B59" s="69" t="s">
        <v>58</v>
      </c>
      <c r="C59" s="49"/>
      <c r="D59" s="49"/>
      <c r="E59" s="49"/>
      <c r="F59" s="49"/>
      <c r="G59" s="49"/>
      <c r="H59" s="49"/>
      <c r="I59" s="49"/>
      <c r="J59" s="49"/>
      <c r="K59" s="49"/>
      <c r="L59" s="49"/>
      <c r="M59" s="49"/>
    </row>
  </sheetData>
  <mergeCells count="46">
    <mergeCell ref="B3:M3"/>
    <mergeCell ref="L6:M6"/>
    <mergeCell ref="B59:M59"/>
    <mergeCell ref="B20:C20"/>
    <mergeCell ref="B56:M56"/>
    <mergeCell ref="H8:I8"/>
    <mergeCell ref="J8:K8"/>
    <mergeCell ref="F28:I28"/>
    <mergeCell ref="H7:I7"/>
    <mergeCell ref="B19:C19"/>
    <mergeCell ref="J7:K7"/>
    <mergeCell ref="D8:E8"/>
    <mergeCell ref="B6:C6"/>
    <mergeCell ref="B15:C15"/>
    <mergeCell ref="B57:M57"/>
    <mergeCell ref="B18:C18"/>
    <mergeCell ref="F7:G7"/>
    <mergeCell ref="B12:C12"/>
    <mergeCell ref="D6:E6"/>
    <mergeCell ref="B26:E26"/>
    <mergeCell ref="B21:C21"/>
    <mergeCell ref="B10:M10"/>
    <mergeCell ref="H6:I6"/>
    <mergeCell ref="B11:C11"/>
    <mergeCell ref="J6:K6"/>
    <mergeCell ref="F24:M24"/>
    <mergeCell ref="B14:C14"/>
    <mergeCell ref="B25:E25"/>
    <mergeCell ref="B17:C17"/>
    <mergeCell ref="L8:M8"/>
    <mergeCell ref="B2:M2"/>
    <mergeCell ref="B16:C16"/>
    <mergeCell ref="L7:M7"/>
    <mergeCell ref="B7:C7"/>
    <mergeCell ref="B42:M42"/>
    <mergeCell ref="B23:M23"/>
    <mergeCell ref="F25:M25"/>
    <mergeCell ref="B28:E28"/>
    <mergeCell ref="F6:G6"/>
    <mergeCell ref="B24:E24"/>
    <mergeCell ref="B8:C8"/>
    <mergeCell ref="F8:G8"/>
    <mergeCell ref="B13:C13"/>
    <mergeCell ref="F26:M26"/>
    <mergeCell ref="J28:M28"/>
    <mergeCell ref="D7:E7"/>
  </mergeCells>
  <conditionalFormatting sqref="B7:E7">
    <cfRule type="expression" dxfId="19" priority="1">
      <formula>$D$7="Green"</formula>
    </cfRule>
    <cfRule type="expression" dxfId="18" priority="2">
      <formula>$D$7="Amber"</formula>
    </cfRule>
    <cfRule type="expression" dxfId="17" priority="3">
      <formula>$D$7="Red"</formula>
    </cfRule>
  </conditionalFormatting>
  <conditionalFormatting sqref="D12:D21">
    <cfRule type="cellIs" dxfId="16" priority="8" operator="equal">
      <formula>"Green"</formula>
    </cfRule>
    <cfRule type="cellIs" dxfId="15" priority="9" operator="equal">
      <formula>"Amber"</formula>
    </cfRule>
    <cfRule type="cellIs" dxfId="14" priority="10" operator="equal">
      <formula>"Red"</formula>
    </cfRule>
  </conditionalFormatting>
  <conditionalFormatting sqref="J7">
    <cfRule type="cellIs" dxfId="12" priority="4" operator="equal">
      <formula>"Delayed"</formula>
    </cfRule>
    <cfRule type="cellIs" dxfId="11" priority="5" operator="equal">
      <formula>"At Risk"</formula>
    </cfRule>
    <cfRule type="cellIs" dxfId="10" priority="6" operator="equal">
      <formula>"On Track"</formula>
    </cfRule>
  </conditionalFormatting>
  <hyperlinks>
    <hyperlink ref="B57" r:id="rId1" xr:uid="{00000000-0004-0000-0500-000000000000}"/>
    <hyperlink ref="B59" r:id="rId2" xr:uid="{00000000-0004-0000-0500-000001000000}"/>
  </hyperlinks>
  <printOptions horizontalCentered="1"/>
  <pageMargins left="0.4" right="0.4" top="0.5" bottom="0.5" header="0.5" footer="0.5"/>
  <pageSetup fitToHeight="0" orientation="landscape"/>
  <drawing r:id="rId3"/>
  <extLst>
    <ext xmlns:x14="http://schemas.microsoft.com/office/spreadsheetml/2009/9/main" uri="{78C0D931-6437-407d-A8EE-F0AAD7539E65}">
      <x14:conditionalFormattings>
        <x14:conditionalFormatting xmlns:xm="http://schemas.microsoft.com/office/excel/2006/main">
          <x14:cfRule type="expression" priority="7" id="{00000000-000E-0000-0500-000007000000}">
            <xm:f>AND(ISNUMBER(H7),H7&gt;'02_PROJECT_INPUT'!$C$19+0.1)</xm:f>
            <x14:dxf>
              <font>
                <b/>
                <color rgb="FFA12B2B"/>
              </font>
            </x14:dxf>
          </x14:cfRule>
          <xm:sqref>H7</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1A2E40"/>
    <pageSetUpPr fitToPage="1"/>
  </sheetPr>
  <dimension ref="A1:I32"/>
  <sheetViews>
    <sheetView showGridLines="0" workbookViewId="0">
      <pane ySplit="8" topLeftCell="A9" activePane="bottomLeft" state="frozen"/>
      <selection pane="bottomLeft"/>
    </sheetView>
  </sheetViews>
  <sheetFormatPr defaultRowHeight="14.5" x14ac:dyDescent="0.35"/>
  <cols>
    <col min="1" max="1" width="3" customWidth="1"/>
    <col min="2" max="2" width="16" customWidth="1"/>
    <col min="3" max="7" width="14" customWidth="1"/>
    <col min="8" max="8" width="40" customWidth="1"/>
    <col min="9" max="9" width="3" customWidth="1"/>
  </cols>
  <sheetData>
    <row r="1" spans="1:9" ht="8" customHeight="1" x14ac:dyDescent="0.35">
      <c r="A1" s="1"/>
      <c r="B1" s="1"/>
      <c r="C1" s="1"/>
      <c r="D1" s="1"/>
      <c r="E1" s="1"/>
      <c r="F1" s="1"/>
      <c r="G1" s="1"/>
      <c r="H1" s="1"/>
      <c r="I1" s="1"/>
    </row>
    <row r="2" spans="1:9" ht="34" customHeight="1" x14ac:dyDescent="0.35">
      <c r="A2" s="1"/>
      <c r="B2" s="72" t="s">
        <v>232</v>
      </c>
      <c r="C2" s="49"/>
      <c r="D2" s="49"/>
      <c r="E2" s="49"/>
      <c r="F2" s="49"/>
      <c r="G2" s="49"/>
      <c r="H2" s="49"/>
      <c r="I2" s="1"/>
    </row>
    <row r="3" spans="1:9" ht="22" customHeight="1" x14ac:dyDescent="0.35">
      <c r="A3" s="1"/>
      <c r="B3" s="68" t="s">
        <v>233</v>
      </c>
      <c r="C3" s="49"/>
      <c r="D3" s="49"/>
      <c r="E3" s="49"/>
      <c r="F3" s="49"/>
      <c r="G3" s="49"/>
      <c r="H3" s="49"/>
      <c r="I3" s="1"/>
    </row>
    <row r="4" spans="1:9" ht="4" customHeight="1" x14ac:dyDescent="0.35">
      <c r="A4" s="2"/>
      <c r="B4" s="2"/>
      <c r="C4" s="2"/>
      <c r="D4" s="2"/>
      <c r="E4" s="2"/>
      <c r="F4" s="2"/>
      <c r="G4" s="2"/>
      <c r="H4" s="2"/>
      <c r="I4" s="2"/>
    </row>
    <row r="6" spans="1:9" ht="18" customHeight="1" x14ac:dyDescent="0.35">
      <c r="G6" s="4" t="s">
        <v>49</v>
      </c>
      <c r="H6" s="5" t="s">
        <v>51</v>
      </c>
    </row>
    <row r="8" spans="1:9" ht="30" customHeight="1" x14ac:dyDescent="0.35">
      <c r="B8" s="6" t="s">
        <v>234</v>
      </c>
      <c r="C8" s="6" t="s">
        <v>235</v>
      </c>
      <c r="D8" s="6" t="s">
        <v>113</v>
      </c>
      <c r="E8" s="6" t="s">
        <v>117</v>
      </c>
      <c r="F8" s="6" t="s">
        <v>162</v>
      </c>
      <c r="G8" s="6" t="s">
        <v>236</v>
      </c>
      <c r="H8" s="6" t="s">
        <v>237</v>
      </c>
    </row>
    <row r="9" spans="1:9" ht="24" customHeight="1" x14ac:dyDescent="0.35">
      <c r="B9" s="28" t="s">
        <v>238</v>
      </c>
      <c r="C9" s="33">
        <v>78</v>
      </c>
      <c r="D9" s="33">
        <v>75</v>
      </c>
      <c r="E9" s="33">
        <v>80</v>
      </c>
      <c r="F9" s="33">
        <v>70</v>
      </c>
      <c r="G9" s="22" t="str">
        <f>IF(C9="","",IF(C9&gt;=75,"Green",IF(C9&gt;=60,"Amber","Red")))</f>
        <v>Green</v>
      </c>
      <c r="H9" s="34" t="s">
        <v>239</v>
      </c>
    </row>
    <row r="10" spans="1:9" ht="24" customHeight="1" x14ac:dyDescent="0.35">
      <c r="B10" s="28" t="s">
        <v>240</v>
      </c>
      <c r="C10" s="33">
        <v>74</v>
      </c>
      <c r="D10" s="33">
        <v>60</v>
      </c>
      <c r="E10" s="33">
        <v>72</v>
      </c>
      <c r="F10" s="33">
        <v>65</v>
      </c>
      <c r="G10" s="22" t="str">
        <f>IF(C10="","",IF(C10&gt;=75,"Green",IF(C10&gt;=60,"Amber","Red")))</f>
        <v>Amber</v>
      </c>
      <c r="H10" s="34" t="s">
        <v>241</v>
      </c>
    </row>
    <row r="11" spans="1:9" ht="24" customHeight="1" x14ac:dyDescent="0.35">
      <c r="B11" s="28" t="s">
        <v>242</v>
      </c>
      <c r="C11" s="33">
        <v>70</v>
      </c>
      <c r="D11" s="33">
        <v>45</v>
      </c>
      <c r="E11" s="33">
        <v>68</v>
      </c>
      <c r="F11" s="33">
        <v>65</v>
      </c>
      <c r="G11" s="22" t="str">
        <f>IF(C11="","",IF(C11&gt;=75,"Green",IF(C11&gt;=60,"Amber","Red")))</f>
        <v>Amber</v>
      </c>
      <c r="H11" s="34" t="s">
        <v>243</v>
      </c>
    </row>
    <row r="12" spans="1:9" ht="24" customHeight="1" x14ac:dyDescent="0.35">
      <c r="B12" s="28" t="s">
        <v>244</v>
      </c>
      <c r="C12" s="33">
        <v>68</v>
      </c>
      <c r="D12" s="33">
        <v>25</v>
      </c>
      <c r="E12" s="33">
        <v>65</v>
      </c>
      <c r="F12" s="33">
        <v>65</v>
      </c>
      <c r="G12" s="22" t="str">
        <f>IF(C12="","",IF(C12&gt;=75,"Green",IF(C12&gt;=60,"Amber","Red")))</f>
        <v>Amber</v>
      </c>
      <c r="H12" s="34" t="s">
        <v>245</v>
      </c>
    </row>
    <row r="13" spans="1:9" ht="26" customHeight="1" x14ac:dyDescent="0.35">
      <c r="B13" s="35" t="s">
        <v>246</v>
      </c>
      <c r="C13" s="36">
        <f>'03_HEALTH_CHECK'!$E$21</f>
        <v>68</v>
      </c>
      <c r="D13" s="36">
        <f>'03_HEALTH_CHECK'!$F$10</f>
        <v>25</v>
      </c>
      <c r="E13" s="36">
        <f>'03_HEALTH_CHECK'!$F$11</f>
        <v>65</v>
      </c>
      <c r="F13" s="36">
        <f>'03_HEALTH_CHECK'!$F$14</f>
        <v>65</v>
      </c>
      <c r="G13" s="37" t="str">
        <f>IF(C13="","",IF(C13&gt;=75,"Green",IF(C13&gt;=60,"Amber","Red")))</f>
        <v>Amber</v>
      </c>
      <c r="H13" s="38" t="s">
        <v>247</v>
      </c>
    </row>
    <row r="14" spans="1:9" ht="20" customHeight="1" x14ac:dyDescent="0.35">
      <c r="B14" s="88" t="s">
        <v>248</v>
      </c>
      <c r="C14" s="49"/>
      <c r="D14" s="49"/>
      <c r="E14" s="49"/>
      <c r="F14" s="49"/>
      <c r="G14" s="49"/>
      <c r="H14" s="49"/>
    </row>
    <row r="16" spans="1:9" ht="24" customHeight="1" x14ac:dyDescent="0.35">
      <c r="B16" s="61" t="s">
        <v>249</v>
      </c>
      <c r="C16" s="62"/>
      <c r="D16" s="62"/>
      <c r="E16" s="62"/>
      <c r="F16" s="62"/>
      <c r="G16" s="62"/>
      <c r="H16" s="62"/>
    </row>
    <row r="17" spans="2:8" ht="18" customHeight="1" x14ac:dyDescent="0.35"/>
    <row r="18" spans="2:8" ht="18" customHeight="1" x14ac:dyDescent="0.35"/>
    <row r="19" spans="2:8" ht="18" customHeight="1" x14ac:dyDescent="0.35"/>
    <row r="20" spans="2:8" ht="18" customHeight="1" x14ac:dyDescent="0.35"/>
    <row r="21" spans="2:8" ht="18" customHeight="1" x14ac:dyDescent="0.35"/>
    <row r="22" spans="2:8" ht="18" customHeight="1" x14ac:dyDescent="0.35"/>
    <row r="23" spans="2:8" ht="18" customHeight="1" x14ac:dyDescent="0.35"/>
    <row r="24" spans="2:8" ht="18" customHeight="1" x14ac:dyDescent="0.35"/>
    <row r="25" spans="2:8" ht="18" customHeight="1" x14ac:dyDescent="0.35"/>
    <row r="26" spans="2:8" ht="18" customHeight="1" x14ac:dyDescent="0.35"/>
    <row r="27" spans="2:8" ht="18" customHeight="1" x14ac:dyDescent="0.35"/>
    <row r="28" spans="2:8" ht="18" customHeight="1" x14ac:dyDescent="0.35"/>
    <row r="29" spans="2:8" ht="18" customHeight="1" x14ac:dyDescent="0.35"/>
    <row r="30" spans="2:8" ht="18" customHeight="1" x14ac:dyDescent="0.35"/>
    <row r="32" spans="2:8" x14ac:dyDescent="0.35">
      <c r="B32" s="69" t="s">
        <v>58</v>
      </c>
      <c r="C32" s="49"/>
      <c r="D32" s="49"/>
      <c r="E32" s="49"/>
      <c r="F32" s="49"/>
      <c r="G32" s="49"/>
      <c r="H32" s="49"/>
    </row>
  </sheetData>
  <mergeCells count="5">
    <mergeCell ref="B14:H14"/>
    <mergeCell ref="B32:H32"/>
    <mergeCell ref="B16:H16"/>
    <mergeCell ref="B2:H2"/>
    <mergeCell ref="B3:H3"/>
  </mergeCells>
  <conditionalFormatting sqref="G9:G13">
    <cfRule type="cellIs" dxfId="9" priority="1" operator="equal">
      <formula>"Green"</formula>
    </cfRule>
    <cfRule type="cellIs" dxfId="8" priority="2" operator="equal">
      <formula>"Amber"</formula>
    </cfRule>
    <cfRule type="cellIs" dxfId="7" priority="3" operator="equal">
      <formula>"Red"</formula>
    </cfRule>
  </conditionalFormatting>
  <dataValidations count="1">
    <dataValidation type="whole" allowBlank="1" showErrorMessage="1" errorTitle="Invalid entry" error="Scores run from 0 to 100." sqref="C9:F12" xr:uid="{00000000-0002-0000-0600-000000000000}">
      <formula1>0</formula1>
      <formula2>100</formula2>
    </dataValidation>
  </dataValidations>
  <hyperlinks>
    <hyperlink ref="B32" r:id="rId1" xr:uid="{00000000-0004-0000-0600-000000000000}"/>
  </hyperlinks>
  <printOptions horizontalCentered="1"/>
  <pageMargins left="0.4" right="0.4" top="0.5" bottom="0.5" header="0.5" footer="0.5"/>
  <pageSetup fitToHeight="0" orientation="landscape"/>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1A2E40"/>
    <pageSetUpPr fitToPage="1"/>
  </sheetPr>
  <dimension ref="A1:BH24"/>
  <sheetViews>
    <sheetView showGridLines="0" workbookViewId="0">
      <pane xSplit="7" ySplit="9" topLeftCell="H10" activePane="bottomRight" state="frozen"/>
      <selection pane="topRight"/>
      <selection pane="bottomLeft"/>
      <selection pane="bottomRight" activeCell="AT39" sqref="AT39"/>
    </sheetView>
  </sheetViews>
  <sheetFormatPr defaultRowHeight="14.5" x14ac:dyDescent="0.35"/>
  <cols>
    <col min="1" max="1" width="3" customWidth="1"/>
    <col min="2" max="2" width="5" customWidth="1"/>
    <col min="3" max="3" width="28" customWidth="1"/>
    <col min="4" max="4" width="12" customWidth="1"/>
    <col min="5" max="6" width="8" customWidth="1"/>
    <col min="7" max="7" width="9" customWidth="1"/>
    <col min="8" max="59" width="4" customWidth="1"/>
    <col min="60" max="60" width="3" customWidth="1"/>
  </cols>
  <sheetData>
    <row r="1" spans="1:60" ht="8" customHeight="1"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row>
    <row r="2" spans="1:60" ht="34" customHeight="1" x14ac:dyDescent="0.35">
      <c r="A2" s="1"/>
      <c r="B2" s="72" t="s">
        <v>250</v>
      </c>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1"/>
    </row>
    <row r="3" spans="1:60" ht="22" customHeight="1" x14ac:dyDescent="0.35">
      <c r="A3" s="1"/>
      <c r="B3" s="68" t="s">
        <v>251</v>
      </c>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1"/>
    </row>
    <row r="4" spans="1:60" ht="4" customHeight="1"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row>
    <row r="5" spans="1:60" ht="10" customHeight="1" x14ac:dyDescent="0.35"/>
    <row r="6" spans="1:60" ht="22" customHeight="1" x14ac:dyDescent="0.35">
      <c r="B6" s="104" t="s">
        <v>252</v>
      </c>
      <c r="C6" s="49"/>
      <c r="D6" s="107">
        <f>IF('02_PROJECT_INPUT'!$C$13="","",'02_PROJECT_INPUT'!$C$13-WEEKDAY('02_PROJECT_INPUT'!$C$13,3))</f>
        <v>46202</v>
      </c>
      <c r="E6" s="106"/>
      <c r="F6" s="99"/>
      <c r="G6" s="39" t="s">
        <v>253</v>
      </c>
      <c r="H6" s="105">
        <f ca="1">IF(D6="","",IF(TODAY()&lt;D6,"",INT((TODAY()-D6)/7)+1))</f>
        <v>14</v>
      </c>
      <c r="I6" s="106"/>
      <c r="J6" s="106"/>
      <c r="K6" s="106"/>
      <c r="L6" s="99"/>
    </row>
    <row r="7" spans="1:60" ht="20" customHeight="1" x14ac:dyDescent="0.35">
      <c r="B7" s="108" t="s">
        <v>254</v>
      </c>
      <c r="C7" s="49"/>
      <c r="D7" s="49"/>
      <c r="E7" s="49"/>
      <c r="F7" s="49"/>
      <c r="G7" s="49"/>
      <c r="H7" s="40" t="str">
        <f>IF($D$6="","",IF(TRUE,TEXT(($D$6+0),"mmm"),""))</f>
        <v>Jun</v>
      </c>
      <c r="I7" s="40" t="str">
        <f>IF($D$6="","",IF(MONTH(($D$6+7))&lt;&gt;MONTH(($D$6+7)-7),TEXT(($D$6+7),"mmm"),""))</f>
        <v>Jul</v>
      </c>
      <c r="J7" s="40" t="str">
        <f>IF($D$6="","",IF(MONTH(($D$6+14))&lt;&gt;MONTH(($D$6+14)-7),TEXT(($D$6+14),"mmm"),""))</f>
        <v/>
      </c>
      <c r="K7" s="40" t="str">
        <f>IF($D$6="","",IF(MONTH(($D$6+21))&lt;&gt;MONTH(($D$6+21)-7),TEXT(($D$6+21),"mmm"),""))</f>
        <v/>
      </c>
      <c r="L7" s="40" t="str">
        <f>IF($D$6="","",IF(MONTH(($D$6+28))&lt;&gt;MONTH(($D$6+28)-7),TEXT(($D$6+28),"mmm"),""))</f>
        <v/>
      </c>
      <c r="M7" s="40" t="str">
        <f>IF($D$6="","",IF(MONTH(($D$6+35))&lt;&gt;MONTH(($D$6+35)-7),TEXT(($D$6+35),"mmm"),""))</f>
        <v>Aug</v>
      </c>
      <c r="N7" s="40" t="str">
        <f>IF($D$6="","",IF(MONTH(($D$6+42))&lt;&gt;MONTH(($D$6+42)-7),TEXT(($D$6+42),"mmm"),""))</f>
        <v/>
      </c>
      <c r="O7" s="40" t="str">
        <f>IF($D$6="","",IF(MONTH(($D$6+49))&lt;&gt;MONTH(($D$6+49)-7),TEXT(($D$6+49),"mmm"),""))</f>
        <v/>
      </c>
      <c r="P7" s="40" t="str">
        <f>IF($D$6="","",IF(MONTH(($D$6+56))&lt;&gt;MONTH(($D$6+56)-7),TEXT(($D$6+56),"mmm"),""))</f>
        <v/>
      </c>
      <c r="Q7" s="40" t="str">
        <f>IF($D$6="","",IF(MONTH(($D$6+63))&lt;&gt;MONTH(($D$6+63)-7),TEXT(($D$6+63),"mmm"),""))</f>
        <v/>
      </c>
      <c r="R7" s="40" t="str">
        <f>IF($D$6="","",IF(MONTH(($D$6+70))&lt;&gt;MONTH(($D$6+70)-7),TEXT(($D$6+70),"mmm"),""))</f>
        <v>Sep</v>
      </c>
      <c r="S7" s="40" t="str">
        <f>IF($D$6="","",IF(MONTH(($D$6+77))&lt;&gt;MONTH(($D$6+77)-7),TEXT(($D$6+77),"mmm"),""))</f>
        <v/>
      </c>
      <c r="T7" s="40" t="str">
        <f>IF($D$6="","",IF(MONTH(($D$6+84))&lt;&gt;MONTH(($D$6+84)-7),TEXT(($D$6+84),"mmm"),""))</f>
        <v/>
      </c>
      <c r="U7" s="40" t="str">
        <f>IF($D$6="","",IF(MONTH(($D$6+91))&lt;&gt;MONTH(($D$6+91)-7),TEXT(($D$6+91),"mmm"),""))</f>
        <v/>
      </c>
      <c r="V7" s="40" t="str">
        <f>IF($D$6="","",IF(MONTH(($D$6+98))&lt;&gt;MONTH(($D$6+98)-7),TEXT(($D$6+98),"mmm"),""))</f>
        <v>Oct</v>
      </c>
      <c r="W7" s="40" t="str">
        <f>IF($D$6="","",IF(MONTH(($D$6+105))&lt;&gt;MONTH(($D$6+105)-7),TEXT(($D$6+105),"mmm"),""))</f>
        <v/>
      </c>
      <c r="X7" s="40" t="str">
        <f>IF($D$6="","",IF(MONTH(($D$6+112))&lt;&gt;MONTH(($D$6+112)-7),TEXT(($D$6+112),"mmm"),""))</f>
        <v/>
      </c>
      <c r="Y7" s="40" t="str">
        <f>IF($D$6="","",IF(MONTH(($D$6+119))&lt;&gt;MONTH(($D$6+119)-7),TEXT(($D$6+119),"mmm"),""))</f>
        <v/>
      </c>
      <c r="Z7" s="40" t="str">
        <f>IF($D$6="","",IF(MONTH(($D$6+126))&lt;&gt;MONTH(($D$6+126)-7),TEXT(($D$6+126),"mmm"),""))</f>
        <v>Nov</v>
      </c>
      <c r="AA7" s="40" t="str">
        <f>IF($D$6="","",IF(MONTH(($D$6+133))&lt;&gt;MONTH(($D$6+133)-7),TEXT(($D$6+133),"mmm"),""))</f>
        <v/>
      </c>
      <c r="AB7" s="40" t="str">
        <f>IF($D$6="","",IF(MONTH(($D$6+140))&lt;&gt;MONTH(($D$6+140)-7),TEXT(($D$6+140),"mmm"),""))</f>
        <v/>
      </c>
      <c r="AC7" s="40" t="str">
        <f>IF($D$6="","",IF(MONTH(($D$6+147))&lt;&gt;MONTH(($D$6+147)-7),TEXT(($D$6+147),"mmm"),""))</f>
        <v/>
      </c>
      <c r="AD7" s="40" t="str">
        <f>IF($D$6="","",IF(MONTH(($D$6+154))&lt;&gt;MONTH(($D$6+154)-7),TEXT(($D$6+154),"mmm"),""))</f>
        <v/>
      </c>
      <c r="AE7" s="40" t="str">
        <f>IF($D$6="","",IF(MONTH(($D$6+161))&lt;&gt;MONTH(($D$6+161)-7),TEXT(($D$6+161),"mmm"),""))</f>
        <v>Dec</v>
      </c>
      <c r="AF7" s="40" t="str">
        <f>IF($D$6="","",IF(MONTH(($D$6+168))&lt;&gt;MONTH(($D$6+168)-7),TEXT(($D$6+168),"mmm"),""))</f>
        <v/>
      </c>
      <c r="AG7" s="40" t="str">
        <f>IF($D$6="","",IF(MONTH(($D$6+175))&lt;&gt;MONTH(($D$6+175)-7),TEXT(($D$6+175),"mmm"),""))</f>
        <v/>
      </c>
      <c r="AH7" s="40" t="str">
        <f>IF($D$6="","",IF(MONTH(($D$6+182))&lt;&gt;MONTH(($D$6+182)-7),TEXT(($D$6+182),"mmm"),""))</f>
        <v/>
      </c>
      <c r="AI7" s="40" t="str">
        <f>IF($D$6="","",IF(MONTH(($D$6+189))&lt;&gt;MONTH(($D$6+189)-7),TEXT(($D$6+189),"mmm"),""))</f>
        <v>Jan</v>
      </c>
      <c r="AJ7" s="40" t="str">
        <f>IF($D$6="","",IF(MONTH(($D$6+196))&lt;&gt;MONTH(($D$6+196)-7),TEXT(($D$6+196),"mmm"),""))</f>
        <v/>
      </c>
      <c r="AK7" s="40" t="str">
        <f>IF($D$6="","",IF(MONTH(($D$6+203))&lt;&gt;MONTH(($D$6+203)-7),TEXT(($D$6+203),"mmm"),""))</f>
        <v/>
      </c>
      <c r="AL7" s="40" t="str">
        <f>IF($D$6="","",IF(MONTH(($D$6+210))&lt;&gt;MONTH(($D$6+210)-7),TEXT(($D$6+210),"mmm"),""))</f>
        <v/>
      </c>
      <c r="AM7" s="40" t="str">
        <f>IF($D$6="","",IF(MONTH(($D$6+217))&lt;&gt;MONTH(($D$6+217)-7),TEXT(($D$6+217),"mmm"),""))</f>
        <v>Feb</v>
      </c>
      <c r="AN7" s="40" t="str">
        <f>IF($D$6="","",IF(MONTH(($D$6+224))&lt;&gt;MONTH(($D$6+224)-7),TEXT(($D$6+224),"mmm"),""))</f>
        <v/>
      </c>
      <c r="AO7" s="40" t="str">
        <f>IF($D$6="","",IF(MONTH(($D$6+231))&lt;&gt;MONTH(($D$6+231)-7),TEXT(($D$6+231),"mmm"),""))</f>
        <v/>
      </c>
      <c r="AP7" s="40" t="str">
        <f>IF($D$6="","",IF(MONTH(($D$6+238))&lt;&gt;MONTH(($D$6+238)-7),TEXT(($D$6+238),"mmm"),""))</f>
        <v/>
      </c>
      <c r="AQ7" s="40" t="str">
        <f>IF($D$6="","",IF(MONTH(($D$6+245))&lt;&gt;MONTH(($D$6+245)-7),TEXT(($D$6+245),"mmm"),""))</f>
        <v>Mar</v>
      </c>
      <c r="AR7" s="40" t="str">
        <f>IF($D$6="","",IF(MONTH(($D$6+252))&lt;&gt;MONTH(($D$6+252)-7),TEXT(($D$6+252),"mmm"),""))</f>
        <v/>
      </c>
      <c r="AS7" s="40" t="str">
        <f>IF($D$6="","",IF(MONTH(($D$6+259))&lt;&gt;MONTH(($D$6+259)-7),TEXT(($D$6+259),"mmm"),""))</f>
        <v/>
      </c>
      <c r="AT7" s="40" t="str">
        <f>IF($D$6="","",IF(MONTH(($D$6+266))&lt;&gt;MONTH(($D$6+266)-7),TEXT(($D$6+266),"mmm"),""))</f>
        <v/>
      </c>
      <c r="AU7" s="40" t="str">
        <f>IF($D$6="","",IF(MONTH(($D$6+273))&lt;&gt;MONTH(($D$6+273)-7),TEXT(($D$6+273),"mmm"),""))</f>
        <v/>
      </c>
      <c r="AV7" s="40" t="str">
        <f>IF($D$6="","",IF(MONTH(($D$6+280))&lt;&gt;MONTH(($D$6+280)-7),TEXT(($D$6+280),"mmm"),""))</f>
        <v>Apr</v>
      </c>
      <c r="AW7" s="40" t="str">
        <f>IF($D$6="","",IF(MONTH(($D$6+287))&lt;&gt;MONTH(($D$6+287)-7),TEXT(($D$6+287),"mmm"),""))</f>
        <v/>
      </c>
      <c r="AX7" s="40" t="str">
        <f>IF($D$6="","",IF(MONTH(($D$6+294))&lt;&gt;MONTH(($D$6+294)-7),TEXT(($D$6+294),"mmm"),""))</f>
        <v/>
      </c>
      <c r="AY7" s="40" t="str">
        <f>IF($D$6="","",IF(MONTH(($D$6+301))&lt;&gt;MONTH(($D$6+301)-7),TEXT(($D$6+301),"mmm"),""))</f>
        <v/>
      </c>
      <c r="AZ7" s="40" t="str">
        <f>IF($D$6="","",IF(MONTH(($D$6+308))&lt;&gt;MONTH(($D$6+308)-7),TEXT(($D$6+308),"mmm"),""))</f>
        <v>May</v>
      </c>
      <c r="BA7" s="40" t="str">
        <f>IF($D$6="","",IF(MONTH(($D$6+315))&lt;&gt;MONTH(($D$6+315)-7),TEXT(($D$6+315),"mmm"),""))</f>
        <v/>
      </c>
      <c r="BB7" s="40" t="str">
        <f>IF($D$6="","",IF(MONTH(($D$6+322))&lt;&gt;MONTH(($D$6+322)-7),TEXT(($D$6+322),"mmm"),""))</f>
        <v/>
      </c>
      <c r="BC7" s="40" t="str">
        <f>IF($D$6="","",IF(MONTH(($D$6+329))&lt;&gt;MONTH(($D$6+329)-7),TEXT(($D$6+329),"mmm"),""))</f>
        <v/>
      </c>
      <c r="BD7" s="40" t="str">
        <f>IF($D$6="","",IF(MONTH(($D$6+336))&lt;&gt;MONTH(($D$6+336)-7),TEXT(($D$6+336),"mmm"),""))</f>
        <v/>
      </c>
      <c r="BE7" s="40" t="str">
        <f>IF($D$6="","",IF(MONTH(($D$6+343))&lt;&gt;MONTH(($D$6+343)-7),TEXT(($D$6+343),"mmm"),""))</f>
        <v>Jun</v>
      </c>
      <c r="BF7" s="40" t="str">
        <f>IF($D$6="","",IF(MONTH(($D$6+350))&lt;&gt;MONTH(($D$6+350)-7),TEXT(($D$6+350),"mmm"),""))</f>
        <v/>
      </c>
      <c r="BG7" s="40" t="str">
        <f>IF($D$6="","",IF(MONTH(($D$6+357))&lt;&gt;MONTH(($D$6+357)-7),TEXT(($D$6+357),"mmm"),""))</f>
        <v/>
      </c>
    </row>
    <row r="8" spans="1:60" ht="18" customHeight="1" x14ac:dyDescent="0.35">
      <c r="B8" s="108" t="s">
        <v>255</v>
      </c>
      <c r="C8" s="49"/>
      <c r="D8" s="49"/>
      <c r="E8" s="49"/>
      <c r="F8" s="49"/>
      <c r="G8" s="49"/>
      <c r="H8" s="41">
        <f>IF($D$6="","",DAY(($D$6+0)))</f>
        <v>29</v>
      </c>
      <c r="I8" s="41">
        <f>IF($D$6="","",DAY(($D$6+7)))</f>
        <v>6</v>
      </c>
      <c r="J8" s="41">
        <f>IF($D$6="","",DAY(($D$6+14)))</f>
        <v>13</v>
      </c>
      <c r="K8" s="41">
        <f>IF($D$6="","",DAY(($D$6+21)))</f>
        <v>20</v>
      </c>
      <c r="L8" s="41">
        <f>IF($D$6="","",DAY(($D$6+28)))</f>
        <v>27</v>
      </c>
      <c r="M8" s="41">
        <f>IF($D$6="","",DAY(($D$6+35)))</f>
        <v>3</v>
      </c>
      <c r="N8" s="41">
        <f>IF($D$6="","",DAY(($D$6+42)))</f>
        <v>10</v>
      </c>
      <c r="O8" s="41">
        <f>IF($D$6="","",DAY(($D$6+49)))</f>
        <v>17</v>
      </c>
      <c r="P8" s="41">
        <f>IF($D$6="","",DAY(($D$6+56)))</f>
        <v>24</v>
      </c>
      <c r="Q8" s="41">
        <f>IF($D$6="","",DAY(($D$6+63)))</f>
        <v>31</v>
      </c>
      <c r="R8" s="41">
        <f>IF($D$6="","",DAY(($D$6+70)))</f>
        <v>7</v>
      </c>
      <c r="S8" s="41">
        <f>IF($D$6="","",DAY(($D$6+77)))</f>
        <v>14</v>
      </c>
      <c r="T8" s="41">
        <f>IF($D$6="","",DAY(($D$6+84)))</f>
        <v>21</v>
      </c>
      <c r="U8" s="41">
        <f>IF($D$6="","",DAY(($D$6+91)))</f>
        <v>28</v>
      </c>
      <c r="V8" s="41">
        <f>IF($D$6="","",DAY(($D$6+98)))</f>
        <v>5</v>
      </c>
      <c r="W8" s="41">
        <f>IF($D$6="","",DAY(($D$6+105)))</f>
        <v>12</v>
      </c>
      <c r="X8" s="41">
        <f>IF($D$6="","",DAY(($D$6+112)))</f>
        <v>19</v>
      </c>
      <c r="Y8" s="41">
        <f>IF($D$6="","",DAY(($D$6+119)))</f>
        <v>26</v>
      </c>
      <c r="Z8" s="41">
        <f>IF($D$6="","",DAY(($D$6+126)))</f>
        <v>2</v>
      </c>
      <c r="AA8" s="41">
        <f>IF($D$6="","",DAY(($D$6+133)))</f>
        <v>9</v>
      </c>
      <c r="AB8" s="41">
        <f>IF($D$6="","",DAY(($D$6+140)))</f>
        <v>16</v>
      </c>
      <c r="AC8" s="41">
        <f>IF($D$6="","",DAY(($D$6+147)))</f>
        <v>23</v>
      </c>
      <c r="AD8" s="41">
        <f>IF($D$6="","",DAY(($D$6+154)))</f>
        <v>30</v>
      </c>
      <c r="AE8" s="41">
        <f>IF($D$6="","",DAY(($D$6+161)))</f>
        <v>7</v>
      </c>
      <c r="AF8" s="41">
        <f>IF($D$6="","",DAY(($D$6+168)))</f>
        <v>14</v>
      </c>
      <c r="AG8" s="41">
        <f>IF($D$6="","",DAY(($D$6+175)))</f>
        <v>21</v>
      </c>
      <c r="AH8" s="41">
        <f>IF($D$6="","",DAY(($D$6+182)))</f>
        <v>28</v>
      </c>
      <c r="AI8" s="41">
        <f>IF($D$6="","",DAY(($D$6+189)))</f>
        <v>4</v>
      </c>
      <c r="AJ8" s="41">
        <f>IF($D$6="","",DAY(($D$6+196)))</f>
        <v>11</v>
      </c>
      <c r="AK8" s="41">
        <f>IF($D$6="","",DAY(($D$6+203)))</f>
        <v>18</v>
      </c>
      <c r="AL8" s="41">
        <f>IF($D$6="","",DAY(($D$6+210)))</f>
        <v>25</v>
      </c>
      <c r="AM8" s="41">
        <f>IF($D$6="","",DAY(($D$6+217)))</f>
        <v>1</v>
      </c>
      <c r="AN8" s="41">
        <f>IF($D$6="","",DAY(($D$6+224)))</f>
        <v>8</v>
      </c>
      <c r="AO8" s="41">
        <f>IF($D$6="","",DAY(($D$6+231)))</f>
        <v>15</v>
      </c>
      <c r="AP8" s="41">
        <f>IF($D$6="","",DAY(($D$6+238)))</f>
        <v>22</v>
      </c>
      <c r="AQ8" s="41">
        <f>IF($D$6="","",DAY(($D$6+245)))</f>
        <v>1</v>
      </c>
      <c r="AR8" s="41">
        <f>IF($D$6="","",DAY(($D$6+252)))</f>
        <v>8</v>
      </c>
      <c r="AS8" s="41">
        <f>IF($D$6="","",DAY(($D$6+259)))</f>
        <v>15</v>
      </c>
      <c r="AT8" s="41">
        <f>IF($D$6="","",DAY(($D$6+266)))</f>
        <v>22</v>
      </c>
      <c r="AU8" s="41">
        <f>IF($D$6="","",DAY(($D$6+273)))</f>
        <v>29</v>
      </c>
      <c r="AV8" s="41">
        <f>IF($D$6="","",DAY(($D$6+280)))</f>
        <v>5</v>
      </c>
      <c r="AW8" s="41">
        <f>IF($D$6="","",DAY(($D$6+287)))</f>
        <v>12</v>
      </c>
      <c r="AX8" s="41">
        <f>IF($D$6="","",DAY(($D$6+294)))</f>
        <v>19</v>
      </c>
      <c r="AY8" s="41">
        <f>IF($D$6="","",DAY(($D$6+301)))</f>
        <v>26</v>
      </c>
      <c r="AZ8" s="41">
        <f>IF($D$6="","",DAY(($D$6+308)))</f>
        <v>3</v>
      </c>
      <c r="BA8" s="41">
        <f>IF($D$6="","",DAY(($D$6+315)))</f>
        <v>10</v>
      </c>
      <c r="BB8" s="41">
        <f>IF($D$6="","",DAY(($D$6+322)))</f>
        <v>17</v>
      </c>
      <c r="BC8" s="41">
        <f>IF($D$6="","",DAY(($D$6+329)))</f>
        <v>24</v>
      </c>
      <c r="BD8" s="41">
        <f>IF($D$6="","",DAY(($D$6+336)))</f>
        <v>31</v>
      </c>
      <c r="BE8" s="41">
        <f>IF($D$6="","",DAY(($D$6+343)))</f>
        <v>7</v>
      </c>
      <c r="BF8" s="41">
        <f>IF($D$6="","",DAY(($D$6+350)))</f>
        <v>14</v>
      </c>
      <c r="BG8" s="41">
        <f>IF($D$6="","",DAY(($D$6+357)))</f>
        <v>21</v>
      </c>
    </row>
    <row r="9" spans="1:60" ht="24" customHeight="1" x14ac:dyDescent="0.35">
      <c r="B9" s="6" t="s">
        <v>102</v>
      </c>
      <c r="C9" s="6" t="s">
        <v>256</v>
      </c>
      <c r="D9" s="6" t="s">
        <v>154</v>
      </c>
      <c r="E9" s="6" t="s">
        <v>257</v>
      </c>
      <c r="F9" s="6" t="s">
        <v>258</v>
      </c>
      <c r="G9" s="6" t="s">
        <v>259</v>
      </c>
      <c r="H9" s="42">
        <v>1</v>
      </c>
      <c r="I9" s="42">
        <v>2</v>
      </c>
      <c r="J9" s="42">
        <v>3</v>
      </c>
      <c r="K9" s="42">
        <v>4</v>
      </c>
      <c r="L9" s="42">
        <v>5</v>
      </c>
      <c r="M9" s="42">
        <v>6</v>
      </c>
      <c r="N9" s="42">
        <v>7</v>
      </c>
      <c r="O9" s="42">
        <v>8</v>
      </c>
      <c r="P9" s="42">
        <v>9</v>
      </c>
      <c r="Q9" s="42">
        <v>10</v>
      </c>
      <c r="R9" s="42">
        <v>11</v>
      </c>
      <c r="S9" s="42">
        <v>12</v>
      </c>
      <c r="T9" s="42">
        <v>13</v>
      </c>
      <c r="U9" s="42">
        <v>14</v>
      </c>
      <c r="V9" s="42">
        <v>15</v>
      </c>
      <c r="W9" s="42">
        <v>16</v>
      </c>
      <c r="X9" s="42">
        <v>17</v>
      </c>
      <c r="Y9" s="42">
        <v>18</v>
      </c>
      <c r="Z9" s="42">
        <v>19</v>
      </c>
      <c r="AA9" s="42">
        <v>20</v>
      </c>
      <c r="AB9" s="42">
        <v>21</v>
      </c>
      <c r="AC9" s="42">
        <v>22</v>
      </c>
      <c r="AD9" s="42">
        <v>23</v>
      </c>
      <c r="AE9" s="42">
        <v>24</v>
      </c>
      <c r="AF9" s="42">
        <v>25</v>
      </c>
      <c r="AG9" s="42">
        <v>26</v>
      </c>
      <c r="AH9" s="42">
        <v>27</v>
      </c>
      <c r="AI9" s="42">
        <v>28</v>
      </c>
      <c r="AJ9" s="42">
        <v>29</v>
      </c>
      <c r="AK9" s="42">
        <v>30</v>
      </c>
      <c r="AL9" s="42">
        <v>31</v>
      </c>
      <c r="AM9" s="42">
        <v>32</v>
      </c>
      <c r="AN9" s="42">
        <v>33</v>
      </c>
      <c r="AO9" s="42">
        <v>34</v>
      </c>
      <c r="AP9" s="42">
        <v>35</v>
      </c>
      <c r="AQ9" s="42">
        <v>36</v>
      </c>
      <c r="AR9" s="42">
        <v>37</v>
      </c>
      <c r="AS9" s="42">
        <v>38</v>
      </c>
      <c r="AT9" s="42">
        <v>39</v>
      </c>
      <c r="AU9" s="42">
        <v>40</v>
      </c>
      <c r="AV9" s="42">
        <v>41</v>
      </c>
      <c r="AW9" s="42">
        <v>42</v>
      </c>
      <c r="AX9" s="42">
        <v>43</v>
      </c>
      <c r="AY9" s="42">
        <v>44</v>
      </c>
      <c r="AZ9" s="42">
        <v>45</v>
      </c>
      <c r="BA9" s="42">
        <v>46</v>
      </c>
      <c r="BB9" s="42">
        <v>47</v>
      </c>
      <c r="BC9" s="42">
        <v>48</v>
      </c>
      <c r="BD9" s="42">
        <v>49</v>
      </c>
      <c r="BE9" s="42">
        <v>50</v>
      </c>
      <c r="BF9" s="42">
        <v>51</v>
      </c>
      <c r="BG9" s="42">
        <v>52</v>
      </c>
    </row>
    <row r="10" spans="1:60" ht="22" customHeight="1" x14ac:dyDescent="0.35">
      <c r="B10" s="16">
        <v>1</v>
      </c>
      <c r="C10" s="28" t="s">
        <v>260</v>
      </c>
      <c r="D10" s="17" t="s">
        <v>165</v>
      </c>
      <c r="E10" s="17">
        <v>1</v>
      </c>
      <c r="F10" s="17">
        <v>3</v>
      </c>
      <c r="G10" s="19">
        <f t="shared" ref="G10:G21" si="0">IF(OR(E10="",F10=""),"",F10-E10+1)</f>
        <v>3</v>
      </c>
      <c r="H10" s="43">
        <f t="shared" ref="H10:Q21" si="1">IF(AND($E10&lt;&gt;"",$F10&lt;&gt;"",H$9&gt;=$E10,H$9&lt;=$F10),1,"")</f>
        <v>1</v>
      </c>
      <c r="I10" s="43">
        <f t="shared" si="1"/>
        <v>1</v>
      </c>
      <c r="J10" s="43">
        <f t="shared" si="1"/>
        <v>1</v>
      </c>
      <c r="K10" s="43" t="str">
        <f t="shared" si="1"/>
        <v/>
      </c>
      <c r="L10" s="43" t="str">
        <f t="shared" si="1"/>
        <v/>
      </c>
      <c r="M10" s="43" t="str">
        <f t="shared" si="1"/>
        <v/>
      </c>
      <c r="N10" s="43" t="str">
        <f t="shared" si="1"/>
        <v/>
      </c>
      <c r="O10" s="43" t="str">
        <f t="shared" si="1"/>
        <v/>
      </c>
      <c r="P10" s="43" t="str">
        <f t="shared" si="1"/>
        <v/>
      </c>
      <c r="Q10" s="43" t="str">
        <f t="shared" si="1"/>
        <v/>
      </c>
      <c r="R10" s="43" t="str">
        <f t="shared" ref="R10:AA21" si="2">IF(AND($E10&lt;&gt;"",$F10&lt;&gt;"",R$9&gt;=$E10,R$9&lt;=$F10),1,"")</f>
        <v/>
      </c>
      <c r="S10" s="43" t="str">
        <f t="shared" si="2"/>
        <v/>
      </c>
      <c r="T10" s="43" t="str">
        <f t="shared" si="2"/>
        <v/>
      </c>
      <c r="U10" s="43" t="str">
        <f t="shared" si="2"/>
        <v/>
      </c>
      <c r="V10" s="43" t="str">
        <f t="shared" si="2"/>
        <v/>
      </c>
      <c r="W10" s="43" t="str">
        <f t="shared" si="2"/>
        <v/>
      </c>
      <c r="X10" s="43" t="str">
        <f t="shared" si="2"/>
        <v/>
      </c>
      <c r="Y10" s="43" t="str">
        <f t="shared" si="2"/>
        <v/>
      </c>
      <c r="Z10" s="43" t="str">
        <f t="shared" si="2"/>
        <v/>
      </c>
      <c r="AA10" s="43" t="str">
        <f t="shared" si="2"/>
        <v/>
      </c>
      <c r="AB10" s="43" t="str">
        <f t="shared" ref="AB10:AK21" si="3">IF(AND($E10&lt;&gt;"",$F10&lt;&gt;"",AB$9&gt;=$E10,AB$9&lt;=$F10),1,"")</f>
        <v/>
      </c>
      <c r="AC10" s="43" t="str">
        <f t="shared" si="3"/>
        <v/>
      </c>
      <c r="AD10" s="43" t="str">
        <f t="shared" si="3"/>
        <v/>
      </c>
      <c r="AE10" s="43" t="str">
        <f t="shared" si="3"/>
        <v/>
      </c>
      <c r="AF10" s="43" t="str">
        <f t="shared" si="3"/>
        <v/>
      </c>
      <c r="AG10" s="43" t="str">
        <f t="shared" si="3"/>
        <v/>
      </c>
      <c r="AH10" s="43" t="str">
        <f t="shared" si="3"/>
        <v/>
      </c>
      <c r="AI10" s="43" t="str">
        <f t="shared" si="3"/>
        <v/>
      </c>
      <c r="AJ10" s="43" t="str">
        <f t="shared" si="3"/>
        <v/>
      </c>
      <c r="AK10" s="43" t="str">
        <f t="shared" si="3"/>
        <v/>
      </c>
      <c r="AL10" s="43" t="str">
        <f t="shared" ref="AL10:AU21" si="4">IF(AND($E10&lt;&gt;"",$F10&lt;&gt;"",AL$9&gt;=$E10,AL$9&lt;=$F10),1,"")</f>
        <v/>
      </c>
      <c r="AM10" s="43" t="str">
        <f t="shared" si="4"/>
        <v/>
      </c>
      <c r="AN10" s="43" t="str">
        <f t="shared" si="4"/>
        <v/>
      </c>
      <c r="AO10" s="43" t="str">
        <f t="shared" si="4"/>
        <v/>
      </c>
      <c r="AP10" s="43" t="str">
        <f t="shared" si="4"/>
        <v/>
      </c>
      <c r="AQ10" s="43" t="str">
        <f t="shared" si="4"/>
        <v/>
      </c>
      <c r="AR10" s="43" t="str">
        <f t="shared" si="4"/>
        <v/>
      </c>
      <c r="AS10" s="43" t="str">
        <f t="shared" si="4"/>
        <v/>
      </c>
      <c r="AT10" s="43" t="str">
        <f t="shared" si="4"/>
        <v/>
      </c>
      <c r="AU10" s="43" t="str">
        <f t="shared" si="4"/>
        <v/>
      </c>
      <c r="AV10" s="43" t="str">
        <f t="shared" ref="AV10:BG21" si="5">IF(AND($E10&lt;&gt;"",$F10&lt;&gt;"",AV$9&gt;=$E10,AV$9&lt;=$F10),1,"")</f>
        <v/>
      </c>
      <c r="AW10" s="43" t="str">
        <f t="shared" si="5"/>
        <v/>
      </c>
      <c r="AX10" s="43" t="str">
        <f t="shared" si="5"/>
        <v/>
      </c>
      <c r="AY10" s="43" t="str">
        <f t="shared" si="5"/>
        <v/>
      </c>
      <c r="AZ10" s="43" t="str">
        <f t="shared" si="5"/>
        <v/>
      </c>
      <c r="BA10" s="43" t="str">
        <f t="shared" si="5"/>
        <v/>
      </c>
      <c r="BB10" s="43" t="str">
        <f t="shared" si="5"/>
        <v/>
      </c>
      <c r="BC10" s="43" t="str">
        <f t="shared" si="5"/>
        <v/>
      </c>
      <c r="BD10" s="43" t="str">
        <f t="shared" si="5"/>
        <v/>
      </c>
      <c r="BE10" s="43" t="str">
        <f t="shared" si="5"/>
        <v/>
      </c>
      <c r="BF10" s="43" t="str">
        <f t="shared" si="5"/>
        <v/>
      </c>
      <c r="BG10" s="43" t="str">
        <f t="shared" si="5"/>
        <v/>
      </c>
    </row>
    <row r="11" spans="1:60" ht="22" customHeight="1" x14ac:dyDescent="0.35">
      <c r="B11" s="16">
        <v>2</v>
      </c>
      <c r="C11" s="28" t="s">
        <v>261</v>
      </c>
      <c r="D11" s="17" t="s">
        <v>173</v>
      </c>
      <c r="E11" s="17">
        <v>2</v>
      </c>
      <c r="F11" s="17">
        <v>5</v>
      </c>
      <c r="G11" s="19">
        <f t="shared" si="0"/>
        <v>4</v>
      </c>
      <c r="H11" s="43" t="str">
        <f t="shared" si="1"/>
        <v/>
      </c>
      <c r="I11" s="43">
        <f t="shared" si="1"/>
        <v>1</v>
      </c>
      <c r="J11" s="43">
        <f t="shared" si="1"/>
        <v>1</v>
      </c>
      <c r="K11" s="43">
        <f t="shared" si="1"/>
        <v>1</v>
      </c>
      <c r="L11" s="43">
        <f t="shared" si="1"/>
        <v>1</v>
      </c>
      <c r="M11" s="43" t="str">
        <f t="shared" si="1"/>
        <v/>
      </c>
      <c r="N11" s="43" t="str">
        <f t="shared" si="1"/>
        <v/>
      </c>
      <c r="O11" s="43" t="str">
        <f t="shared" si="1"/>
        <v/>
      </c>
      <c r="P11" s="43" t="str">
        <f t="shared" si="1"/>
        <v/>
      </c>
      <c r="Q11" s="43" t="str">
        <f t="shared" si="1"/>
        <v/>
      </c>
      <c r="R11" s="43" t="str">
        <f t="shared" si="2"/>
        <v/>
      </c>
      <c r="S11" s="43" t="str">
        <f t="shared" si="2"/>
        <v/>
      </c>
      <c r="T11" s="43" t="str">
        <f t="shared" si="2"/>
        <v/>
      </c>
      <c r="U11" s="43" t="str">
        <f t="shared" si="2"/>
        <v/>
      </c>
      <c r="V11" s="43" t="str">
        <f t="shared" si="2"/>
        <v/>
      </c>
      <c r="W11" s="43" t="str">
        <f t="shared" si="2"/>
        <v/>
      </c>
      <c r="X11" s="43" t="str">
        <f t="shared" si="2"/>
        <v/>
      </c>
      <c r="Y11" s="43" t="str">
        <f t="shared" si="2"/>
        <v/>
      </c>
      <c r="Z11" s="43" t="str">
        <f t="shared" si="2"/>
        <v/>
      </c>
      <c r="AA11" s="43" t="str">
        <f t="shared" si="2"/>
        <v/>
      </c>
      <c r="AB11" s="43" t="str">
        <f t="shared" si="3"/>
        <v/>
      </c>
      <c r="AC11" s="43" t="str">
        <f t="shared" si="3"/>
        <v/>
      </c>
      <c r="AD11" s="43" t="str">
        <f t="shared" si="3"/>
        <v/>
      </c>
      <c r="AE11" s="43" t="str">
        <f t="shared" si="3"/>
        <v/>
      </c>
      <c r="AF11" s="43" t="str">
        <f t="shared" si="3"/>
        <v/>
      </c>
      <c r="AG11" s="43" t="str">
        <f t="shared" si="3"/>
        <v/>
      </c>
      <c r="AH11" s="43" t="str">
        <f t="shared" si="3"/>
        <v/>
      </c>
      <c r="AI11" s="43" t="str">
        <f t="shared" si="3"/>
        <v/>
      </c>
      <c r="AJ11" s="43" t="str">
        <f t="shared" si="3"/>
        <v/>
      </c>
      <c r="AK11" s="43" t="str">
        <f t="shared" si="3"/>
        <v/>
      </c>
      <c r="AL11" s="43" t="str">
        <f t="shared" si="4"/>
        <v/>
      </c>
      <c r="AM11" s="43" t="str">
        <f t="shared" si="4"/>
        <v/>
      </c>
      <c r="AN11" s="43" t="str">
        <f t="shared" si="4"/>
        <v/>
      </c>
      <c r="AO11" s="43" t="str">
        <f t="shared" si="4"/>
        <v/>
      </c>
      <c r="AP11" s="43" t="str">
        <f t="shared" si="4"/>
        <v/>
      </c>
      <c r="AQ11" s="43" t="str">
        <f t="shared" si="4"/>
        <v/>
      </c>
      <c r="AR11" s="43" t="str">
        <f t="shared" si="4"/>
        <v/>
      </c>
      <c r="AS11" s="43" t="str">
        <f t="shared" si="4"/>
        <v/>
      </c>
      <c r="AT11" s="43" t="str">
        <f t="shared" si="4"/>
        <v/>
      </c>
      <c r="AU11" s="43" t="str">
        <f t="shared" si="4"/>
        <v/>
      </c>
      <c r="AV11" s="43" t="str">
        <f t="shared" si="5"/>
        <v/>
      </c>
      <c r="AW11" s="43" t="str">
        <f t="shared" si="5"/>
        <v/>
      </c>
      <c r="AX11" s="43" t="str">
        <f t="shared" si="5"/>
        <v/>
      </c>
      <c r="AY11" s="43" t="str">
        <f t="shared" si="5"/>
        <v/>
      </c>
      <c r="AZ11" s="43" t="str">
        <f t="shared" si="5"/>
        <v/>
      </c>
      <c r="BA11" s="43" t="str">
        <f t="shared" si="5"/>
        <v/>
      </c>
      <c r="BB11" s="43" t="str">
        <f t="shared" si="5"/>
        <v/>
      </c>
      <c r="BC11" s="43" t="str">
        <f t="shared" si="5"/>
        <v/>
      </c>
      <c r="BD11" s="43" t="str">
        <f t="shared" si="5"/>
        <v/>
      </c>
      <c r="BE11" s="43" t="str">
        <f t="shared" si="5"/>
        <v/>
      </c>
      <c r="BF11" s="43" t="str">
        <f t="shared" si="5"/>
        <v/>
      </c>
      <c r="BG11" s="43" t="str">
        <f t="shared" si="5"/>
        <v/>
      </c>
    </row>
    <row r="12" spans="1:60" ht="22" customHeight="1" x14ac:dyDescent="0.35">
      <c r="B12" s="16">
        <v>3</v>
      </c>
      <c r="C12" s="28" t="s">
        <v>262</v>
      </c>
      <c r="D12" s="17" t="s">
        <v>179</v>
      </c>
      <c r="E12" s="17">
        <v>5</v>
      </c>
      <c r="F12" s="17">
        <v>11</v>
      </c>
      <c r="G12" s="19">
        <f t="shared" si="0"/>
        <v>7</v>
      </c>
      <c r="H12" s="43" t="str">
        <f t="shared" si="1"/>
        <v/>
      </c>
      <c r="I12" s="43" t="str">
        <f t="shared" si="1"/>
        <v/>
      </c>
      <c r="J12" s="43" t="str">
        <f t="shared" si="1"/>
        <v/>
      </c>
      <c r="K12" s="43" t="str">
        <f t="shared" si="1"/>
        <v/>
      </c>
      <c r="L12" s="43">
        <f t="shared" si="1"/>
        <v>1</v>
      </c>
      <c r="M12" s="43">
        <f t="shared" si="1"/>
        <v>1</v>
      </c>
      <c r="N12" s="43">
        <f t="shared" si="1"/>
        <v>1</v>
      </c>
      <c r="O12" s="43">
        <f t="shared" si="1"/>
        <v>1</v>
      </c>
      <c r="P12" s="43">
        <f t="shared" si="1"/>
        <v>1</v>
      </c>
      <c r="Q12" s="43">
        <f t="shared" si="1"/>
        <v>1</v>
      </c>
      <c r="R12" s="43">
        <f t="shared" si="2"/>
        <v>1</v>
      </c>
      <c r="S12" s="43" t="str">
        <f t="shared" si="2"/>
        <v/>
      </c>
      <c r="T12" s="43" t="str">
        <f t="shared" si="2"/>
        <v/>
      </c>
      <c r="U12" s="43" t="str">
        <f t="shared" si="2"/>
        <v/>
      </c>
      <c r="V12" s="43" t="str">
        <f t="shared" si="2"/>
        <v/>
      </c>
      <c r="W12" s="43" t="str">
        <f t="shared" si="2"/>
        <v/>
      </c>
      <c r="X12" s="43" t="str">
        <f t="shared" si="2"/>
        <v/>
      </c>
      <c r="Y12" s="43" t="str">
        <f t="shared" si="2"/>
        <v/>
      </c>
      <c r="Z12" s="43" t="str">
        <f t="shared" si="2"/>
        <v/>
      </c>
      <c r="AA12" s="43" t="str">
        <f t="shared" si="2"/>
        <v/>
      </c>
      <c r="AB12" s="43" t="str">
        <f t="shared" si="3"/>
        <v/>
      </c>
      <c r="AC12" s="43" t="str">
        <f t="shared" si="3"/>
        <v/>
      </c>
      <c r="AD12" s="43" t="str">
        <f t="shared" si="3"/>
        <v/>
      </c>
      <c r="AE12" s="43" t="str">
        <f t="shared" si="3"/>
        <v/>
      </c>
      <c r="AF12" s="43" t="str">
        <f t="shared" si="3"/>
        <v/>
      </c>
      <c r="AG12" s="43" t="str">
        <f t="shared" si="3"/>
        <v/>
      </c>
      <c r="AH12" s="43" t="str">
        <f t="shared" si="3"/>
        <v/>
      </c>
      <c r="AI12" s="43" t="str">
        <f t="shared" si="3"/>
        <v/>
      </c>
      <c r="AJ12" s="43" t="str">
        <f t="shared" si="3"/>
        <v/>
      </c>
      <c r="AK12" s="43" t="str">
        <f t="shared" si="3"/>
        <v/>
      </c>
      <c r="AL12" s="43" t="str">
        <f t="shared" si="4"/>
        <v/>
      </c>
      <c r="AM12" s="43" t="str">
        <f t="shared" si="4"/>
        <v/>
      </c>
      <c r="AN12" s="43" t="str">
        <f t="shared" si="4"/>
        <v/>
      </c>
      <c r="AO12" s="43" t="str">
        <f t="shared" si="4"/>
        <v/>
      </c>
      <c r="AP12" s="43" t="str">
        <f t="shared" si="4"/>
        <v/>
      </c>
      <c r="AQ12" s="43" t="str">
        <f t="shared" si="4"/>
        <v/>
      </c>
      <c r="AR12" s="43" t="str">
        <f t="shared" si="4"/>
        <v/>
      </c>
      <c r="AS12" s="43" t="str">
        <f t="shared" si="4"/>
        <v/>
      </c>
      <c r="AT12" s="43" t="str">
        <f t="shared" si="4"/>
        <v/>
      </c>
      <c r="AU12" s="43" t="str">
        <f t="shared" si="4"/>
        <v/>
      </c>
      <c r="AV12" s="43" t="str">
        <f t="shared" si="5"/>
        <v/>
      </c>
      <c r="AW12" s="43" t="str">
        <f t="shared" si="5"/>
        <v/>
      </c>
      <c r="AX12" s="43" t="str">
        <f t="shared" si="5"/>
        <v/>
      </c>
      <c r="AY12" s="43" t="str">
        <f t="shared" si="5"/>
        <v/>
      </c>
      <c r="AZ12" s="43" t="str">
        <f t="shared" si="5"/>
        <v/>
      </c>
      <c r="BA12" s="43" t="str">
        <f t="shared" si="5"/>
        <v/>
      </c>
      <c r="BB12" s="43" t="str">
        <f t="shared" si="5"/>
        <v/>
      </c>
      <c r="BC12" s="43" t="str">
        <f t="shared" si="5"/>
        <v/>
      </c>
      <c r="BD12" s="43" t="str">
        <f t="shared" si="5"/>
        <v/>
      </c>
      <c r="BE12" s="43" t="str">
        <f t="shared" si="5"/>
        <v/>
      </c>
      <c r="BF12" s="43" t="str">
        <f t="shared" si="5"/>
        <v/>
      </c>
      <c r="BG12" s="43" t="str">
        <f t="shared" si="5"/>
        <v/>
      </c>
    </row>
    <row r="13" spans="1:60" ht="22" customHeight="1" x14ac:dyDescent="0.35">
      <c r="B13" s="16">
        <v>4</v>
      </c>
      <c r="C13" s="28" t="s">
        <v>263</v>
      </c>
      <c r="D13" s="17" t="s">
        <v>165</v>
      </c>
      <c r="E13" s="17">
        <v>10</v>
      </c>
      <c r="F13" s="17">
        <v>14</v>
      </c>
      <c r="G13" s="19">
        <f t="shared" si="0"/>
        <v>5</v>
      </c>
      <c r="H13" s="43" t="str">
        <f t="shared" si="1"/>
        <v/>
      </c>
      <c r="I13" s="43" t="str">
        <f t="shared" si="1"/>
        <v/>
      </c>
      <c r="J13" s="43" t="str">
        <f t="shared" si="1"/>
        <v/>
      </c>
      <c r="K13" s="43" t="str">
        <f t="shared" si="1"/>
        <v/>
      </c>
      <c r="L13" s="43" t="str">
        <f t="shared" si="1"/>
        <v/>
      </c>
      <c r="M13" s="43" t="str">
        <f t="shared" si="1"/>
        <v/>
      </c>
      <c r="N13" s="43" t="str">
        <f t="shared" si="1"/>
        <v/>
      </c>
      <c r="O13" s="43" t="str">
        <f t="shared" si="1"/>
        <v/>
      </c>
      <c r="P13" s="43" t="str">
        <f t="shared" si="1"/>
        <v/>
      </c>
      <c r="Q13" s="43">
        <f t="shared" si="1"/>
        <v>1</v>
      </c>
      <c r="R13" s="43">
        <f t="shared" si="2"/>
        <v>1</v>
      </c>
      <c r="S13" s="43">
        <f t="shared" si="2"/>
        <v>1</v>
      </c>
      <c r="T13" s="43">
        <f t="shared" si="2"/>
        <v>1</v>
      </c>
      <c r="U13" s="43">
        <f t="shared" si="2"/>
        <v>1</v>
      </c>
      <c r="V13" s="43" t="str">
        <f t="shared" si="2"/>
        <v/>
      </c>
      <c r="W13" s="43" t="str">
        <f t="shared" si="2"/>
        <v/>
      </c>
      <c r="X13" s="43" t="str">
        <f t="shared" si="2"/>
        <v/>
      </c>
      <c r="Y13" s="43" t="str">
        <f t="shared" si="2"/>
        <v/>
      </c>
      <c r="Z13" s="43" t="str">
        <f t="shared" si="2"/>
        <v/>
      </c>
      <c r="AA13" s="43" t="str">
        <f t="shared" si="2"/>
        <v/>
      </c>
      <c r="AB13" s="43" t="str">
        <f t="shared" si="3"/>
        <v/>
      </c>
      <c r="AC13" s="43" t="str">
        <f t="shared" si="3"/>
        <v/>
      </c>
      <c r="AD13" s="43" t="str">
        <f t="shared" si="3"/>
        <v/>
      </c>
      <c r="AE13" s="43" t="str">
        <f t="shared" si="3"/>
        <v/>
      </c>
      <c r="AF13" s="43" t="str">
        <f t="shared" si="3"/>
        <v/>
      </c>
      <c r="AG13" s="43" t="str">
        <f t="shared" si="3"/>
        <v/>
      </c>
      <c r="AH13" s="43" t="str">
        <f t="shared" si="3"/>
        <v/>
      </c>
      <c r="AI13" s="43" t="str">
        <f t="shared" si="3"/>
        <v/>
      </c>
      <c r="AJ13" s="43" t="str">
        <f t="shared" si="3"/>
        <v/>
      </c>
      <c r="AK13" s="43" t="str">
        <f t="shared" si="3"/>
        <v/>
      </c>
      <c r="AL13" s="43" t="str">
        <f t="shared" si="4"/>
        <v/>
      </c>
      <c r="AM13" s="43" t="str">
        <f t="shared" si="4"/>
        <v/>
      </c>
      <c r="AN13" s="43" t="str">
        <f t="shared" si="4"/>
        <v/>
      </c>
      <c r="AO13" s="43" t="str">
        <f t="shared" si="4"/>
        <v/>
      </c>
      <c r="AP13" s="43" t="str">
        <f t="shared" si="4"/>
        <v/>
      </c>
      <c r="AQ13" s="43" t="str">
        <f t="shared" si="4"/>
        <v/>
      </c>
      <c r="AR13" s="43" t="str">
        <f t="shared" si="4"/>
        <v/>
      </c>
      <c r="AS13" s="43" t="str">
        <f t="shared" si="4"/>
        <v/>
      </c>
      <c r="AT13" s="43" t="str">
        <f t="shared" si="4"/>
        <v/>
      </c>
      <c r="AU13" s="43" t="str">
        <f t="shared" si="4"/>
        <v/>
      </c>
      <c r="AV13" s="43" t="str">
        <f t="shared" si="5"/>
        <v/>
      </c>
      <c r="AW13" s="43" t="str">
        <f t="shared" si="5"/>
        <v/>
      </c>
      <c r="AX13" s="43" t="str">
        <f t="shared" si="5"/>
        <v/>
      </c>
      <c r="AY13" s="43" t="str">
        <f t="shared" si="5"/>
        <v/>
      </c>
      <c r="AZ13" s="43" t="str">
        <f t="shared" si="5"/>
        <v/>
      </c>
      <c r="BA13" s="43" t="str">
        <f t="shared" si="5"/>
        <v/>
      </c>
      <c r="BB13" s="43" t="str">
        <f t="shared" si="5"/>
        <v/>
      </c>
      <c r="BC13" s="43" t="str">
        <f t="shared" si="5"/>
        <v/>
      </c>
      <c r="BD13" s="43" t="str">
        <f t="shared" si="5"/>
        <v/>
      </c>
      <c r="BE13" s="43" t="str">
        <f t="shared" si="5"/>
        <v/>
      </c>
      <c r="BF13" s="43" t="str">
        <f t="shared" si="5"/>
        <v/>
      </c>
      <c r="BG13" s="43" t="str">
        <f t="shared" si="5"/>
        <v/>
      </c>
    </row>
    <row r="14" spans="1:60" ht="22" customHeight="1" x14ac:dyDescent="0.35">
      <c r="B14" s="16">
        <v>5</v>
      </c>
      <c r="C14" s="28" t="s">
        <v>264</v>
      </c>
      <c r="D14" s="17" t="s">
        <v>173</v>
      </c>
      <c r="E14" s="17">
        <v>14</v>
      </c>
      <c r="F14" s="17">
        <v>16</v>
      </c>
      <c r="G14" s="19">
        <f t="shared" si="0"/>
        <v>3</v>
      </c>
      <c r="H14" s="43" t="str">
        <f t="shared" si="1"/>
        <v/>
      </c>
      <c r="I14" s="43" t="str">
        <f t="shared" si="1"/>
        <v/>
      </c>
      <c r="J14" s="43" t="str">
        <f t="shared" si="1"/>
        <v/>
      </c>
      <c r="K14" s="43" t="str">
        <f t="shared" si="1"/>
        <v/>
      </c>
      <c r="L14" s="43" t="str">
        <f t="shared" si="1"/>
        <v/>
      </c>
      <c r="M14" s="43" t="str">
        <f t="shared" si="1"/>
        <v/>
      </c>
      <c r="N14" s="43" t="str">
        <f t="shared" si="1"/>
        <v/>
      </c>
      <c r="O14" s="43" t="str">
        <f t="shared" si="1"/>
        <v/>
      </c>
      <c r="P14" s="43" t="str">
        <f t="shared" si="1"/>
        <v/>
      </c>
      <c r="Q14" s="43" t="str">
        <f t="shared" si="1"/>
        <v/>
      </c>
      <c r="R14" s="43" t="str">
        <f t="shared" si="2"/>
        <v/>
      </c>
      <c r="S14" s="43" t="str">
        <f t="shared" si="2"/>
        <v/>
      </c>
      <c r="T14" s="43" t="str">
        <f t="shared" si="2"/>
        <v/>
      </c>
      <c r="U14" s="43">
        <f t="shared" si="2"/>
        <v>1</v>
      </c>
      <c r="V14" s="43">
        <f t="shared" si="2"/>
        <v>1</v>
      </c>
      <c r="W14" s="43">
        <f t="shared" si="2"/>
        <v>1</v>
      </c>
      <c r="X14" s="43" t="str">
        <f t="shared" si="2"/>
        <v/>
      </c>
      <c r="Y14" s="43" t="str">
        <f t="shared" si="2"/>
        <v/>
      </c>
      <c r="Z14" s="43" t="str">
        <f t="shared" si="2"/>
        <v/>
      </c>
      <c r="AA14" s="43" t="str">
        <f t="shared" si="2"/>
        <v/>
      </c>
      <c r="AB14" s="43" t="str">
        <f t="shared" si="3"/>
        <v/>
      </c>
      <c r="AC14" s="43" t="str">
        <f t="shared" si="3"/>
        <v/>
      </c>
      <c r="AD14" s="43" t="str">
        <f t="shared" si="3"/>
        <v/>
      </c>
      <c r="AE14" s="43" t="str">
        <f t="shared" si="3"/>
        <v/>
      </c>
      <c r="AF14" s="43" t="str">
        <f t="shared" si="3"/>
        <v/>
      </c>
      <c r="AG14" s="43" t="str">
        <f t="shared" si="3"/>
        <v/>
      </c>
      <c r="AH14" s="43" t="str">
        <f t="shared" si="3"/>
        <v/>
      </c>
      <c r="AI14" s="43" t="str">
        <f t="shared" si="3"/>
        <v/>
      </c>
      <c r="AJ14" s="43" t="str">
        <f t="shared" si="3"/>
        <v/>
      </c>
      <c r="AK14" s="43" t="str">
        <f t="shared" si="3"/>
        <v/>
      </c>
      <c r="AL14" s="43" t="str">
        <f t="shared" si="4"/>
        <v/>
      </c>
      <c r="AM14" s="43" t="str">
        <f t="shared" si="4"/>
        <v/>
      </c>
      <c r="AN14" s="43" t="str">
        <f t="shared" si="4"/>
        <v/>
      </c>
      <c r="AO14" s="43" t="str">
        <f t="shared" si="4"/>
        <v/>
      </c>
      <c r="AP14" s="43" t="str">
        <f t="shared" si="4"/>
        <v/>
      </c>
      <c r="AQ14" s="43" t="str">
        <f t="shared" si="4"/>
        <v/>
      </c>
      <c r="AR14" s="43" t="str">
        <f t="shared" si="4"/>
        <v/>
      </c>
      <c r="AS14" s="43" t="str">
        <f t="shared" si="4"/>
        <v/>
      </c>
      <c r="AT14" s="43" t="str">
        <f t="shared" si="4"/>
        <v/>
      </c>
      <c r="AU14" s="43" t="str">
        <f t="shared" si="4"/>
        <v/>
      </c>
      <c r="AV14" s="43" t="str">
        <f t="shared" si="5"/>
        <v/>
      </c>
      <c r="AW14" s="43" t="str">
        <f t="shared" si="5"/>
        <v/>
      </c>
      <c r="AX14" s="43" t="str">
        <f t="shared" si="5"/>
        <v/>
      </c>
      <c r="AY14" s="43" t="str">
        <f t="shared" si="5"/>
        <v/>
      </c>
      <c r="AZ14" s="43" t="str">
        <f t="shared" si="5"/>
        <v/>
      </c>
      <c r="BA14" s="43" t="str">
        <f t="shared" si="5"/>
        <v/>
      </c>
      <c r="BB14" s="43" t="str">
        <f t="shared" si="5"/>
        <v/>
      </c>
      <c r="BC14" s="43" t="str">
        <f t="shared" si="5"/>
        <v/>
      </c>
      <c r="BD14" s="43" t="str">
        <f t="shared" si="5"/>
        <v/>
      </c>
      <c r="BE14" s="43" t="str">
        <f t="shared" si="5"/>
        <v/>
      </c>
      <c r="BF14" s="43" t="str">
        <f t="shared" si="5"/>
        <v/>
      </c>
      <c r="BG14" s="43" t="str">
        <f t="shared" si="5"/>
        <v/>
      </c>
    </row>
    <row r="15" spans="1:60" ht="22" customHeight="1" x14ac:dyDescent="0.35">
      <c r="B15" s="16">
        <v>6</v>
      </c>
      <c r="C15" s="28"/>
      <c r="D15" s="17"/>
      <c r="E15" s="17"/>
      <c r="F15" s="17"/>
      <c r="G15" s="19" t="str">
        <f t="shared" si="0"/>
        <v/>
      </c>
      <c r="H15" s="43" t="str">
        <f t="shared" si="1"/>
        <v/>
      </c>
      <c r="I15" s="43" t="str">
        <f t="shared" si="1"/>
        <v/>
      </c>
      <c r="J15" s="43" t="str">
        <f t="shared" si="1"/>
        <v/>
      </c>
      <c r="K15" s="43" t="str">
        <f t="shared" si="1"/>
        <v/>
      </c>
      <c r="L15" s="43" t="str">
        <f t="shared" si="1"/>
        <v/>
      </c>
      <c r="M15" s="43" t="str">
        <f t="shared" si="1"/>
        <v/>
      </c>
      <c r="N15" s="43" t="str">
        <f t="shared" si="1"/>
        <v/>
      </c>
      <c r="O15" s="43" t="str">
        <f t="shared" si="1"/>
        <v/>
      </c>
      <c r="P15" s="43" t="str">
        <f t="shared" si="1"/>
        <v/>
      </c>
      <c r="Q15" s="43" t="str">
        <f t="shared" si="1"/>
        <v/>
      </c>
      <c r="R15" s="43" t="str">
        <f t="shared" si="2"/>
        <v/>
      </c>
      <c r="S15" s="43" t="str">
        <f t="shared" si="2"/>
        <v/>
      </c>
      <c r="T15" s="43" t="str">
        <f t="shared" si="2"/>
        <v/>
      </c>
      <c r="U15" s="43" t="str">
        <f t="shared" si="2"/>
        <v/>
      </c>
      <c r="V15" s="43" t="str">
        <f t="shared" si="2"/>
        <v/>
      </c>
      <c r="W15" s="43" t="str">
        <f t="shared" si="2"/>
        <v/>
      </c>
      <c r="X15" s="43" t="str">
        <f t="shared" si="2"/>
        <v/>
      </c>
      <c r="Y15" s="43" t="str">
        <f t="shared" si="2"/>
        <v/>
      </c>
      <c r="Z15" s="43" t="str">
        <f t="shared" si="2"/>
        <v/>
      </c>
      <c r="AA15" s="43" t="str">
        <f t="shared" si="2"/>
        <v/>
      </c>
      <c r="AB15" s="43" t="str">
        <f t="shared" si="3"/>
        <v/>
      </c>
      <c r="AC15" s="43" t="str">
        <f t="shared" si="3"/>
        <v/>
      </c>
      <c r="AD15" s="43" t="str">
        <f t="shared" si="3"/>
        <v/>
      </c>
      <c r="AE15" s="43" t="str">
        <f t="shared" si="3"/>
        <v/>
      </c>
      <c r="AF15" s="43" t="str">
        <f t="shared" si="3"/>
        <v/>
      </c>
      <c r="AG15" s="43" t="str">
        <f t="shared" si="3"/>
        <v/>
      </c>
      <c r="AH15" s="43" t="str">
        <f t="shared" si="3"/>
        <v/>
      </c>
      <c r="AI15" s="43" t="str">
        <f t="shared" si="3"/>
        <v/>
      </c>
      <c r="AJ15" s="43" t="str">
        <f t="shared" si="3"/>
        <v/>
      </c>
      <c r="AK15" s="43" t="str">
        <f t="shared" si="3"/>
        <v/>
      </c>
      <c r="AL15" s="43" t="str">
        <f t="shared" si="4"/>
        <v/>
      </c>
      <c r="AM15" s="43" t="str">
        <f t="shared" si="4"/>
        <v/>
      </c>
      <c r="AN15" s="43" t="str">
        <f t="shared" si="4"/>
        <v/>
      </c>
      <c r="AO15" s="43" t="str">
        <f t="shared" si="4"/>
        <v/>
      </c>
      <c r="AP15" s="43" t="str">
        <f t="shared" si="4"/>
        <v/>
      </c>
      <c r="AQ15" s="43" t="str">
        <f t="shared" si="4"/>
        <v/>
      </c>
      <c r="AR15" s="43" t="str">
        <f t="shared" si="4"/>
        <v/>
      </c>
      <c r="AS15" s="43" t="str">
        <f t="shared" si="4"/>
        <v/>
      </c>
      <c r="AT15" s="43" t="str">
        <f t="shared" si="4"/>
        <v/>
      </c>
      <c r="AU15" s="43" t="str">
        <f t="shared" si="4"/>
        <v/>
      </c>
      <c r="AV15" s="43" t="str">
        <f t="shared" si="5"/>
        <v/>
      </c>
      <c r="AW15" s="43" t="str">
        <f t="shared" si="5"/>
        <v/>
      </c>
      <c r="AX15" s="43" t="str">
        <f t="shared" si="5"/>
        <v/>
      </c>
      <c r="AY15" s="43" t="str">
        <f t="shared" si="5"/>
        <v/>
      </c>
      <c r="AZ15" s="43" t="str">
        <f t="shared" si="5"/>
        <v/>
      </c>
      <c r="BA15" s="43" t="str">
        <f t="shared" si="5"/>
        <v/>
      </c>
      <c r="BB15" s="43" t="str">
        <f t="shared" si="5"/>
        <v/>
      </c>
      <c r="BC15" s="43" t="str">
        <f t="shared" si="5"/>
        <v/>
      </c>
      <c r="BD15" s="43" t="str">
        <f t="shared" si="5"/>
        <v/>
      </c>
      <c r="BE15" s="43" t="str">
        <f t="shared" si="5"/>
        <v/>
      </c>
      <c r="BF15" s="43" t="str">
        <f t="shared" si="5"/>
        <v/>
      </c>
      <c r="BG15" s="43" t="str">
        <f t="shared" si="5"/>
        <v/>
      </c>
    </row>
    <row r="16" spans="1:60" ht="22" customHeight="1" x14ac:dyDescent="0.35">
      <c r="B16" s="16">
        <v>7</v>
      </c>
      <c r="C16" s="28"/>
      <c r="D16" s="17"/>
      <c r="E16" s="17"/>
      <c r="F16" s="17"/>
      <c r="G16" s="19" t="str">
        <f t="shared" si="0"/>
        <v/>
      </c>
      <c r="H16" s="43" t="str">
        <f t="shared" si="1"/>
        <v/>
      </c>
      <c r="I16" s="43" t="str">
        <f t="shared" si="1"/>
        <v/>
      </c>
      <c r="J16" s="43" t="str">
        <f t="shared" si="1"/>
        <v/>
      </c>
      <c r="K16" s="43" t="str">
        <f t="shared" si="1"/>
        <v/>
      </c>
      <c r="L16" s="43" t="str">
        <f t="shared" si="1"/>
        <v/>
      </c>
      <c r="M16" s="43" t="str">
        <f t="shared" si="1"/>
        <v/>
      </c>
      <c r="N16" s="43" t="str">
        <f t="shared" si="1"/>
        <v/>
      </c>
      <c r="O16" s="43" t="str">
        <f t="shared" si="1"/>
        <v/>
      </c>
      <c r="P16" s="43" t="str">
        <f t="shared" si="1"/>
        <v/>
      </c>
      <c r="Q16" s="43" t="str">
        <f t="shared" si="1"/>
        <v/>
      </c>
      <c r="R16" s="43" t="str">
        <f t="shared" si="2"/>
        <v/>
      </c>
      <c r="S16" s="43" t="str">
        <f t="shared" si="2"/>
        <v/>
      </c>
      <c r="T16" s="43" t="str">
        <f t="shared" si="2"/>
        <v/>
      </c>
      <c r="U16" s="43" t="str">
        <f t="shared" si="2"/>
        <v/>
      </c>
      <c r="V16" s="43" t="str">
        <f t="shared" si="2"/>
        <v/>
      </c>
      <c r="W16" s="43" t="str">
        <f t="shared" si="2"/>
        <v/>
      </c>
      <c r="X16" s="43" t="str">
        <f t="shared" si="2"/>
        <v/>
      </c>
      <c r="Y16" s="43" t="str">
        <f t="shared" si="2"/>
        <v/>
      </c>
      <c r="Z16" s="43" t="str">
        <f t="shared" si="2"/>
        <v/>
      </c>
      <c r="AA16" s="43" t="str">
        <f t="shared" si="2"/>
        <v/>
      </c>
      <c r="AB16" s="43" t="str">
        <f t="shared" si="3"/>
        <v/>
      </c>
      <c r="AC16" s="43" t="str">
        <f t="shared" si="3"/>
        <v/>
      </c>
      <c r="AD16" s="43" t="str">
        <f t="shared" si="3"/>
        <v/>
      </c>
      <c r="AE16" s="43" t="str">
        <f t="shared" si="3"/>
        <v/>
      </c>
      <c r="AF16" s="43" t="str">
        <f t="shared" si="3"/>
        <v/>
      </c>
      <c r="AG16" s="43" t="str">
        <f t="shared" si="3"/>
        <v/>
      </c>
      <c r="AH16" s="43" t="str">
        <f t="shared" si="3"/>
        <v/>
      </c>
      <c r="AI16" s="43" t="str">
        <f t="shared" si="3"/>
        <v/>
      </c>
      <c r="AJ16" s="43" t="str">
        <f t="shared" si="3"/>
        <v/>
      </c>
      <c r="AK16" s="43" t="str">
        <f t="shared" si="3"/>
        <v/>
      </c>
      <c r="AL16" s="43" t="str">
        <f t="shared" si="4"/>
        <v/>
      </c>
      <c r="AM16" s="43" t="str">
        <f t="shared" si="4"/>
        <v/>
      </c>
      <c r="AN16" s="43" t="str">
        <f t="shared" si="4"/>
        <v/>
      </c>
      <c r="AO16" s="43" t="str">
        <f t="shared" si="4"/>
        <v/>
      </c>
      <c r="AP16" s="43" t="str">
        <f t="shared" si="4"/>
        <v/>
      </c>
      <c r="AQ16" s="43" t="str">
        <f t="shared" si="4"/>
        <v/>
      </c>
      <c r="AR16" s="43" t="str">
        <f t="shared" si="4"/>
        <v/>
      </c>
      <c r="AS16" s="43" t="str">
        <f t="shared" si="4"/>
        <v/>
      </c>
      <c r="AT16" s="43" t="str">
        <f t="shared" si="4"/>
        <v/>
      </c>
      <c r="AU16" s="43" t="str">
        <f t="shared" si="4"/>
        <v/>
      </c>
      <c r="AV16" s="43" t="str">
        <f t="shared" si="5"/>
        <v/>
      </c>
      <c r="AW16" s="43" t="str">
        <f t="shared" si="5"/>
        <v/>
      </c>
      <c r="AX16" s="43" t="str">
        <f t="shared" si="5"/>
        <v/>
      </c>
      <c r="AY16" s="43" t="str">
        <f t="shared" si="5"/>
        <v/>
      </c>
      <c r="AZ16" s="43" t="str">
        <f t="shared" si="5"/>
        <v/>
      </c>
      <c r="BA16" s="43" t="str">
        <f t="shared" si="5"/>
        <v/>
      </c>
      <c r="BB16" s="43" t="str">
        <f t="shared" si="5"/>
        <v/>
      </c>
      <c r="BC16" s="43" t="str">
        <f t="shared" si="5"/>
        <v/>
      </c>
      <c r="BD16" s="43" t="str">
        <f t="shared" si="5"/>
        <v/>
      </c>
      <c r="BE16" s="43" t="str">
        <f t="shared" si="5"/>
        <v/>
      </c>
      <c r="BF16" s="43" t="str">
        <f t="shared" si="5"/>
        <v/>
      </c>
      <c r="BG16" s="43" t="str">
        <f t="shared" si="5"/>
        <v/>
      </c>
    </row>
    <row r="17" spans="2:59" ht="22" customHeight="1" x14ac:dyDescent="0.35">
      <c r="B17" s="16">
        <v>8</v>
      </c>
      <c r="C17" s="28"/>
      <c r="D17" s="17"/>
      <c r="E17" s="17"/>
      <c r="F17" s="17"/>
      <c r="G17" s="19" t="str">
        <f t="shared" si="0"/>
        <v/>
      </c>
      <c r="H17" s="43" t="str">
        <f t="shared" si="1"/>
        <v/>
      </c>
      <c r="I17" s="43" t="str">
        <f t="shared" si="1"/>
        <v/>
      </c>
      <c r="J17" s="43" t="str">
        <f t="shared" si="1"/>
        <v/>
      </c>
      <c r="K17" s="43" t="str">
        <f t="shared" si="1"/>
        <v/>
      </c>
      <c r="L17" s="43" t="str">
        <f t="shared" si="1"/>
        <v/>
      </c>
      <c r="M17" s="43" t="str">
        <f t="shared" si="1"/>
        <v/>
      </c>
      <c r="N17" s="43" t="str">
        <f t="shared" si="1"/>
        <v/>
      </c>
      <c r="O17" s="43" t="str">
        <f t="shared" si="1"/>
        <v/>
      </c>
      <c r="P17" s="43" t="str">
        <f t="shared" si="1"/>
        <v/>
      </c>
      <c r="Q17" s="43" t="str">
        <f t="shared" si="1"/>
        <v/>
      </c>
      <c r="R17" s="43" t="str">
        <f t="shared" si="2"/>
        <v/>
      </c>
      <c r="S17" s="43" t="str">
        <f t="shared" si="2"/>
        <v/>
      </c>
      <c r="T17" s="43" t="str">
        <f t="shared" si="2"/>
        <v/>
      </c>
      <c r="U17" s="43" t="str">
        <f t="shared" si="2"/>
        <v/>
      </c>
      <c r="V17" s="43" t="str">
        <f t="shared" si="2"/>
        <v/>
      </c>
      <c r="W17" s="43" t="str">
        <f t="shared" si="2"/>
        <v/>
      </c>
      <c r="X17" s="43" t="str">
        <f t="shared" si="2"/>
        <v/>
      </c>
      <c r="Y17" s="43" t="str">
        <f t="shared" si="2"/>
        <v/>
      </c>
      <c r="Z17" s="43" t="str">
        <f t="shared" si="2"/>
        <v/>
      </c>
      <c r="AA17" s="43" t="str">
        <f t="shared" si="2"/>
        <v/>
      </c>
      <c r="AB17" s="43" t="str">
        <f t="shared" si="3"/>
        <v/>
      </c>
      <c r="AC17" s="43" t="str">
        <f t="shared" si="3"/>
        <v/>
      </c>
      <c r="AD17" s="43" t="str">
        <f t="shared" si="3"/>
        <v/>
      </c>
      <c r="AE17" s="43" t="str">
        <f t="shared" si="3"/>
        <v/>
      </c>
      <c r="AF17" s="43" t="str">
        <f t="shared" si="3"/>
        <v/>
      </c>
      <c r="AG17" s="43" t="str">
        <f t="shared" si="3"/>
        <v/>
      </c>
      <c r="AH17" s="43" t="str">
        <f t="shared" si="3"/>
        <v/>
      </c>
      <c r="AI17" s="43" t="str">
        <f t="shared" si="3"/>
        <v/>
      </c>
      <c r="AJ17" s="43" t="str">
        <f t="shared" si="3"/>
        <v/>
      </c>
      <c r="AK17" s="43" t="str">
        <f t="shared" si="3"/>
        <v/>
      </c>
      <c r="AL17" s="43" t="str">
        <f t="shared" si="4"/>
        <v/>
      </c>
      <c r="AM17" s="43" t="str">
        <f t="shared" si="4"/>
        <v/>
      </c>
      <c r="AN17" s="43" t="str">
        <f t="shared" si="4"/>
        <v/>
      </c>
      <c r="AO17" s="43" t="str">
        <f t="shared" si="4"/>
        <v/>
      </c>
      <c r="AP17" s="43" t="str">
        <f t="shared" si="4"/>
        <v/>
      </c>
      <c r="AQ17" s="43" t="str">
        <f t="shared" si="4"/>
        <v/>
      </c>
      <c r="AR17" s="43" t="str">
        <f t="shared" si="4"/>
        <v/>
      </c>
      <c r="AS17" s="43" t="str">
        <f t="shared" si="4"/>
        <v/>
      </c>
      <c r="AT17" s="43" t="str">
        <f t="shared" si="4"/>
        <v/>
      </c>
      <c r="AU17" s="43" t="str">
        <f t="shared" si="4"/>
        <v/>
      </c>
      <c r="AV17" s="43" t="str">
        <f t="shared" si="5"/>
        <v/>
      </c>
      <c r="AW17" s="43" t="str">
        <f t="shared" si="5"/>
        <v/>
      </c>
      <c r="AX17" s="43" t="str">
        <f t="shared" si="5"/>
        <v/>
      </c>
      <c r="AY17" s="43" t="str">
        <f t="shared" si="5"/>
        <v/>
      </c>
      <c r="AZ17" s="43" t="str">
        <f t="shared" si="5"/>
        <v/>
      </c>
      <c r="BA17" s="43" t="str">
        <f t="shared" si="5"/>
        <v/>
      </c>
      <c r="BB17" s="43" t="str">
        <f t="shared" si="5"/>
        <v/>
      </c>
      <c r="BC17" s="43" t="str">
        <f t="shared" si="5"/>
        <v/>
      </c>
      <c r="BD17" s="43" t="str">
        <f t="shared" si="5"/>
        <v/>
      </c>
      <c r="BE17" s="43" t="str">
        <f t="shared" si="5"/>
        <v/>
      </c>
      <c r="BF17" s="43" t="str">
        <f t="shared" si="5"/>
        <v/>
      </c>
      <c r="BG17" s="43" t="str">
        <f t="shared" si="5"/>
        <v/>
      </c>
    </row>
    <row r="18" spans="2:59" ht="22" customHeight="1" x14ac:dyDescent="0.35">
      <c r="B18" s="16">
        <v>9</v>
      </c>
      <c r="C18" s="28"/>
      <c r="D18" s="17"/>
      <c r="E18" s="17"/>
      <c r="F18" s="17"/>
      <c r="G18" s="19" t="str">
        <f t="shared" si="0"/>
        <v/>
      </c>
      <c r="H18" s="43" t="str">
        <f t="shared" si="1"/>
        <v/>
      </c>
      <c r="I18" s="43" t="str">
        <f t="shared" si="1"/>
        <v/>
      </c>
      <c r="J18" s="43" t="str">
        <f t="shared" si="1"/>
        <v/>
      </c>
      <c r="K18" s="43" t="str">
        <f t="shared" si="1"/>
        <v/>
      </c>
      <c r="L18" s="43" t="str">
        <f t="shared" si="1"/>
        <v/>
      </c>
      <c r="M18" s="43" t="str">
        <f t="shared" si="1"/>
        <v/>
      </c>
      <c r="N18" s="43" t="str">
        <f t="shared" si="1"/>
        <v/>
      </c>
      <c r="O18" s="43" t="str">
        <f t="shared" si="1"/>
        <v/>
      </c>
      <c r="P18" s="43" t="str">
        <f t="shared" si="1"/>
        <v/>
      </c>
      <c r="Q18" s="43" t="str">
        <f t="shared" si="1"/>
        <v/>
      </c>
      <c r="R18" s="43" t="str">
        <f t="shared" si="2"/>
        <v/>
      </c>
      <c r="S18" s="43" t="str">
        <f t="shared" si="2"/>
        <v/>
      </c>
      <c r="T18" s="43" t="str">
        <f t="shared" si="2"/>
        <v/>
      </c>
      <c r="U18" s="43" t="str">
        <f t="shared" si="2"/>
        <v/>
      </c>
      <c r="V18" s="43" t="str">
        <f t="shared" si="2"/>
        <v/>
      </c>
      <c r="W18" s="43" t="str">
        <f t="shared" si="2"/>
        <v/>
      </c>
      <c r="X18" s="43" t="str">
        <f t="shared" si="2"/>
        <v/>
      </c>
      <c r="Y18" s="43" t="str">
        <f t="shared" si="2"/>
        <v/>
      </c>
      <c r="Z18" s="43" t="str">
        <f t="shared" si="2"/>
        <v/>
      </c>
      <c r="AA18" s="43" t="str">
        <f t="shared" si="2"/>
        <v/>
      </c>
      <c r="AB18" s="43" t="str">
        <f t="shared" si="3"/>
        <v/>
      </c>
      <c r="AC18" s="43" t="str">
        <f t="shared" si="3"/>
        <v/>
      </c>
      <c r="AD18" s="43" t="str">
        <f t="shared" si="3"/>
        <v/>
      </c>
      <c r="AE18" s="43" t="str">
        <f t="shared" si="3"/>
        <v/>
      </c>
      <c r="AF18" s="43" t="str">
        <f t="shared" si="3"/>
        <v/>
      </c>
      <c r="AG18" s="43" t="str">
        <f t="shared" si="3"/>
        <v/>
      </c>
      <c r="AH18" s="43" t="str">
        <f t="shared" si="3"/>
        <v/>
      </c>
      <c r="AI18" s="43" t="str">
        <f t="shared" si="3"/>
        <v/>
      </c>
      <c r="AJ18" s="43" t="str">
        <f t="shared" si="3"/>
        <v/>
      </c>
      <c r="AK18" s="43" t="str">
        <f t="shared" si="3"/>
        <v/>
      </c>
      <c r="AL18" s="43" t="str">
        <f t="shared" si="4"/>
        <v/>
      </c>
      <c r="AM18" s="43" t="str">
        <f t="shared" si="4"/>
        <v/>
      </c>
      <c r="AN18" s="43" t="str">
        <f t="shared" si="4"/>
        <v/>
      </c>
      <c r="AO18" s="43" t="str">
        <f t="shared" si="4"/>
        <v/>
      </c>
      <c r="AP18" s="43" t="str">
        <f t="shared" si="4"/>
        <v/>
      </c>
      <c r="AQ18" s="43" t="str">
        <f t="shared" si="4"/>
        <v/>
      </c>
      <c r="AR18" s="43" t="str">
        <f t="shared" si="4"/>
        <v/>
      </c>
      <c r="AS18" s="43" t="str">
        <f t="shared" si="4"/>
        <v/>
      </c>
      <c r="AT18" s="43" t="str">
        <f t="shared" si="4"/>
        <v/>
      </c>
      <c r="AU18" s="43" t="str">
        <f t="shared" si="4"/>
        <v/>
      </c>
      <c r="AV18" s="43" t="str">
        <f t="shared" si="5"/>
        <v/>
      </c>
      <c r="AW18" s="43" t="str">
        <f t="shared" si="5"/>
        <v/>
      </c>
      <c r="AX18" s="43" t="str">
        <f t="shared" si="5"/>
        <v/>
      </c>
      <c r="AY18" s="43" t="str">
        <f t="shared" si="5"/>
        <v/>
      </c>
      <c r="AZ18" s="43" t="str">
        <f t="shared" si="5"/>
        <v/>
      </c>
      <c r="BA18" s="43" t="str">
        <f t="shared" si="5"/>
        <v/>
      </c>
      <c r="BB18" s="43" t="str">
        <f t="shared" si="5"/>
        <v/>
      </c>
      <c r="BC18" s="43" t="str">
        <f t="shared" si="5"/>
        <v/>
      </c>
      <c r="BD18" s="43" t="str">
        <f t="shared" si="5"/>
        <v/>
      </c>
      <c r="BE18" s="43" t="str">
        <f t="shared" si="5"/>
        <v/>
      </c>
      <c r="BF18" s="43" t="str">
        <f t="shared" si="5"/>
        <v/>
      </c>
      <c r="BG18" s="43" t="str">
        <f t="shared" si="5"/>
        <v/>
      </c>
    </row>
    <row r="19" spans="2:59" ht="22" customHeight="1" x14ac:dyDescent="0.35">
      <c r="B19" s="16">
        <v>10</v>
      </c>
      <c r="C19" s="28"/>
      <c r="D19" s="17"/>
      <c r="E19" s="17"/>
      <c r="F19" s="17"/>
      <c r="G19" s="19" t="str">
        <f t="shared" si="0"/>
        <v/>
      </c>
      <c r="H19" s="43" t="str">
        <f t="shared" si="1"/>
        <v/>
      </c>
      <c r="I19" s="43" t="str">
        <f t="shared" si="1"/>
        <v/>
      </c>
      <c r="J19" s="43" t="str">
        <f t="shared" si="1"/>
        <v/>
      </c>
      <c r="K19" s="43" t="str">
        <f t="shared" si="1"/>
        <v/>
      </c>
      <c r="L19" s="43" t="str">
        <f t="shared" si="1"/>
        <v/>
      </c>
      <c r="M19" s="43" t="str">
        <f t="shared" si="1"/>
        <v/>
      </c>
      <c r="N19" s="43" t="str">
        <f t="shared" si="1"/>
        <v/>
      </c>
      <c r="O19" s="43" t="str">
        <f t="shared" si="1"/>
        <v/>
      </c>
      <c r="P19" s="43" t="str">
        <f t="shared" si="1"/>
        <v/>
      </c>
      <c r="Q19" s="43" t="str">
        <f t="shared" si="1"/>
        <v/>
      </c>
      <c r="R19" s="43" t="str">
        <f t="shared" si="2"/>
        <v/>
      </c>
      <c r="S19" s="43" t="str">
        <f t="shared" si="2"/>
        <v/>
      </c>
      <c r="T19" s="43" t="str">
        <f t="shared" si="2"/>
        <v/>
      </c>
      <c r="U19" s="43" t="str">
        <f t="shared" si="2"/>
        <v/>
      </c>
      <c r="V19" s="43" t="str">
        <f t="shared" si="2"/>
        <v/>
      </c>
      <c r="W19" s="43" t="str">
        <f t="shared" si="2"/>
        <v/>
      </c>
      <c r="X19" s="43" t="str">
        <f t="shared" si="2"/>
        <v/>
      </c>
      <c r="Y19" s="43" t="str">
        <f t="shared" si="2"/>
        <v/>
      </c>
      <c r="Z19" s="43" t="str">
        <f t="shared" si="2"/>
        <v/>
      </c>
      <c r="AA19" s="43" t="str">
        <f t="shared" si="2"/>
        <v/>
      </c>
      <c r="AB19" s="43" t="str">
        <f t="shared" si="3"/>
        <v/>
      </c>
      <c r="AC19" s="43" t="str">
        <f t="shared" si="3"/>
        <v/>
      </c>
      <c r="AD19" s="43" t="str">
        <f t="shared" si="3"/>
        <v/>
      </c>
      <c r="AE19" s="43" t="str">
        <f t="shared" si="3"/>
        <v/>
      </c>
      <c r="AF19" s="43" t="str">
        <f t="shared" si="3"/>
        <v/>
      </c>
      <c r="AG19" s="43" t="str">
        <f t="shared" si="3"/>
        <v/>
      </c>
      <c r="AH19" s="43" t="str">
        <f t="shared" si="3"/>
        <v/>
      </c>
      <c r="AI19" s="43" t="str">
        <f t="shared" si="3"/>
        <v/>
      </c>
      <c r="AJ19" s="43" t="str">
        <f t="shared" si="3"/>
        <v/>
      </c>
      <c r="AK19" s="43" t="str">
        <f t="shared" si="3"/>
        <v/>
      </c>
      <c r="AL19" s="43" t="str">
        <f t="shared" si="4"/>
        <v/>
      </c>
      <c r="AM19" s="43" t="str">
        <f t="shared" si="4"/>
        <v/>
      </c>
      <c r="AN19" s="43" t="str">
        <f t="shared" si="4"/>
        <v/>
      </c>
      <c r="AO19" s="43" t="str">
        <f t="shared" si="4"/>
        <v/>
      </c>
      <c r="AP19" s="43" t="str">
        <f t="shared" si="4"/>
        <v/>
      </c>
      <c r="AQ19" s="43" t="str">
        <f t="shared" si="4"/>
        <v/>
      </c>
      <c r="AR19" s="43" t="str">
        <f t="shared" si="4"/>
        <v/>
      </c>
      <c r="AS19" s="43" t="str">
        <f t="shared" si="4"/>
        <v/>
      </c>
      <c r="AT19" s="43" t="str">
        <f t="shared" si="4"/>
        <v/>
      </c>
      <c r="AU19" s="43" t="str">
        <f t="shared" si="4"/>
        <v/>
      </c>
      <c r="AV19" s="43" t="str">
        <f t="shared" si="5"/>
        <v/>
      </c>
      <c r="AW19" s="43" t="str">
        <f t="shared" si="5"/>
        <v/>
      </c>
      <c r="AX19" s="43" t="str">
        <f t="shared" si="5"/>
        <v/>
      </c>
      <c r="AY19" s="43" t="str">
        <f t="shared" si="5"/>
        <v/>
      </c>
      <c r="AZ19" s="43" t="str">
        <f t="shared" si="5"/>
        <v/>
      </c>
      <c r="BA19" s="43" t="str">
        <f t="shared" si="5"/>
        <v/>
      </c>
      <c r="BB19" s="43" t="str">
        <f t="shared" si="5"/>
        <v/>
      </c>
      <c r="BC19" s="43" t="str">
        <f t="shared" si="5"/>
        <v/>
      </c>
      <c r="BD19" s="43" t="str">
        <f t="shared" si="5"/>
        <v/>
      </c>
      <c r="BE19" s="43" t="str">
        <f t="shared" si="5"/>
        <v/>
      </c>
      <c r="BF19" s="43" t="str">
        <f t="shared" si="5"/>
        <v/>
      </c>
      <c r="BG19" s="43" t="str">
        <f t="shared" si="5"/>
        <v/>
      </c>
    </row>
    <row r="20" spans="2:59" ht="22" customHeight="1" x14ac:dyDescent="0.35">
      <c r="B20" s="16">
        <v>11</v>
      </c>
      <c r="C20" s="28"/>
      <c r="D20" s="17"/>
      <c r="E20" s="17"/>
      <c r="F20" s="17"/>
      <c r="G20" s="19" t="str">
        <f t="shared" si="0"/>
        <v/>
      </c>
      <c r="H20" s="43" t="str">
        <f t="shared" si="1"/>
        <v/>
      </c>
      <c r="I20" s="43" t="str">
        <f t="shared" si="1"/>
        <v/>
      </c>
      <c r="J20" s="43" t="str">
        <f t="shared" si="1"/>
        <v/>
      </c>
      <c r="K20" s="43" t="str">
        <f t="shared" si="1"/>
        <v/>
      </c>
      <c r="L20" s="43" t="str">
        <f t="shared" si="1"/>
        <v/>
      </c>
      <c r="M20" s="43" t="str">
        <f t="shared" si="1"/>
        <v/>
      </c>
      <c r="N20" s="43" t="str">
        <f t="shared" si="1"/>
        <v/>
      </c>
      <c r="O20" s="43" t="str">
        <f t="shared" si="1"/>
        <v/>
      </c>
      <c r="P20" s="43" t="str">
        <f t="shared" si="1"/>
        <v/>
      </c>
      <c r="Q20" s="43" t="str">
        <f t="shared" si="1"/>
        <v/>
      </c>
      <c r="R20" s="43" t="str">
        <f t="shared" si="2"/>
        <v/>
      </c>
      <c r="S20" s="43" t="str">
        <f t="shared" si="2"/>
        <v/>
      </c>
      <c r="T20" s="43" t="str">
        <f t="shared" si="2"/>
        <v/>
      </c>
      <c r="U20" s="43" t="str">
        <f t="shared" si="2"/>
        <v/>
      </c>
      <c r="V20" s="43" t="str">
        <f t="shared" si="2"/>
        <v/>
      </c>
      <c r="W20" s="43" t="str">
        <f t="shared" si="2"/>
        <v/>
      </c>
      <c r="X20" s="43" t="str">
        <f t="shared" si="2"/>
        <v/>
      </c>
      <c r="Y20" s="43" t="str">
        <f t="shared" si="2"/>
        <v/>
      </c>
      <c r="Z20" s="43" t="str">
        <f t="shared" si="2"/>
        <v/>
      </c>
      <c r="AA20" s="43" t="str">
        <f t="shared" si="2"/>
        <v/>
      </c>
      <c r="AB20" s="43" t="str">
        <f t="shared" si="3"/>
        <v/>
      </c>
      <c r="AC20" s="43" t="str">
        <f t="shared" si="3"/>
        <v/>
      </c>
      <c r="AD20" s="43" t="str">
        <f t="shared" si="3"/>
        <v/>
      </c>
      <c r="AE20" s="43" t="str">
        <f t="shared" si="3"/>
        <v/>
      </c>
      <c r="AF20" s="43" t="str">
        <f t="shared" si="3"/>
        <v/>
      </c>
      <c r="AG20" s="43" t="str">
        <f t="shared" si="3"/>
        <v/>
      </c>
      <c r="AH20" s="43" t="str">
        <f t="shared" si="3"/>
        <v/>
      </c>
      <c r="AI20" s="43" t="str">
        <f t="shared" si="3"/>
        <v/>
      </c>
      <c r="AJ20" s="43" t="str">
        <f t="shared" si="3"/>
        <v/>
      </c>
      <c r="AK20" s="43" t="str">
        <f t="shared" si="3"/>
        <v/>
      </c>
      <c r="AL20" s="43" t="str">
        <f t="shared" si="4"/>
        <v/>
      </c>
      <c r="AM20" s="43" t="str">
        <f t="shared" si="4"/>
        <v/>
      </c>
      <c r="AN20" s="43" t="str">
        <f t="shared" si="4"/>
        <v/>
      </c>
      <c r="AO20" s="43" t="str">
        <f t="shared" si="4"/>
        <v/>
      </c>
      <c r="AP20" s="43" t="str">
        <f t="shared" si="4"/>
        <v/>
      </c>
      <c r="AQ20" s="43" t="str">
        <f t="shared" si="4"/>
        <v/>
      </c>
      <c r="AR20" s="43" t="str">
        <f t="shared" si="4"/>
        <v/>
      </c>
      <c r="AS20" s="43" t="str">
        <f t="shared" si="4"/>
        <v/>
      </c>
      <c r="AT20" s="43" t="str">
        <f t="shared" si="4"/>
        <v/>
      </c>
      <c r="AU20" s="43" t="str">
        <f t="shared" si="4"/>
        <v/>
      </c>
      <c r="AV20" s="43" t="str">
        <f t="shared" si="5"/>
        <v/>
      </c>
      <c r="AW20" s="43" t="str">
        <f t="shared" si="5"/>
        <v/>
      </c>
      <c r="AX20" s="43" t="str">
        <f t="shared" si="5"/>
        <v/>
      </c>
      <c r="AY20" s="43" t="str">
        <f t="shared" si="5"/>
        <v/>
      </c>
      <c r="AZ20" s="43" t="str">
        <f t="shared" si="5"/>
        <v/>
      </c>
      <c r="BA20" s="43" t="str">
        <f t="shared" si="5"/>
        <v/>
      </c>
      <c r="BB20" s="43" t="str">
        <f t="shared" si="5"/>
        <v/>
      </c>
      <c r="BC20" s="43" t="str">
        <f t="shared" si="5"/>
        <v/>
      </c>
      <c r="BD20" s="43" t="str">
        <f t="shared" si="5"/>
        <v/>
      </c>
      <c r="BE20" s="43" t="str">
        <f t="shared" si="5"/>
        <v/>
      </c>
      <c r="BF20" s="43" t="str">
        <f t="shared" si="5"/>
        <v/>
      </c>
      <c r="BG20" s="43" t="str">
        <f t="shared" si="5"/>
        <v/>
      </c>
    </row>
    <row r="21" spans="2:59" ht="22" customHeight="1" x14ac:dyDescent="0.35">
      <c r="B21" s="16">
        <v>12</v>
      </c>
      <c r="C21" s="28"/>
      <c r="D21" s="17"/>
      <c r="E21" s="17"/>
      <c r="F21" s="17"/>
      <c r="G21" s="19" t="str">
        <f t="shared" si="0"/>
        <v/>
      </c>
      <c r="H21" s="43" t="str">
        <f t="shared" si="1"/>
        <v/>
      </c>
      <c r="I21" s="43" t="str">
        <f t="shared" si="1"/>
        <v/>
      </c>
      <c r="J21" s="43" t="str">
        <f t="shared" si="1"/>
        <v/>
      </c>
      <c r="K21" s="43" t="str">
        <f t="shared" si="1"/>
        <v/>
      </c>
      <c r="L21" s="43" t="str">
        <f t="shared" si="1"/>
        <v/>
      </c>
      <c r="M21" s="43" t="str">
        <f t="shared" si="1"/>
        <v/>
      </c>
      <c r="N21" s="43" t="str">
        <f t="shared" si="1"/>
        <v/>
      </c>
      <c r="O21" s="43" t="str">
        <f t="shared" si="1"/>
        <v/>
      </c>
      <c r="P21" s="43" t="str">
        <f t="shared" si="1"/>
        <v/>
      </c>
      <c r="Q21" s="43" t="str">
        <f t="shared" si="1"/>
        <v/>
      </c>
      <c r="R21" s="43" t="str">
        <f t="shared" si="2"/>
        <v/>
      </c>
      <c r="S21" s="43" t="str">
        <f t="shared" si="2"/>
        <v/>
      </c>
      <c r="T21" s="43" t="str">
        <f t="shared" si="2"/>
        <v/>
      </c>
      <c r="U21" s="43" t="str">
        <f t="shared" si="2"/>
        <v/>
      </c>
      <c r="V21" s="43" t="str">
        <f t="shared" si="2"/>
        <v/>
      </c>
      <c r="W21" s="43" t="str">
        <f t="shared" si="2"/>
        <v/>
      </c>
      <c r="X21" s="43" t="str">
        <f t="shared" si="2"/>
        <v/>
      </c>
      <c r="Y21" s="43" t="str">
        <f t="shared" si="2"/>
        <v/>
      </c>
      <c r="Z21" s="43" t="str">
        <f t="shared" si="2"/>
        <v/>
      </c>
      <c r="AA21" s="43" t="str">
        <f t="shared" si="2"/>
        <v/>
      </c>
      <c r="AB21" s="43" t="str">
        <f t="shared" si="3"/>
        <v/>
      </c>
      <c r="AC21" s="43" t="str">
        <f t="shared" si="3"/>
        <v/>
      </c>
      <c r="AD21" s="43" t="str">
        <f t="shared" si="3"/>
        <v/>
      </c>
      <c r="AE21" s="43" t="str">
        <f t="shared" si="3"/>
        <v/>
      </c>
      <c r="AF21" s="43" t="str">
        <f t="shared" si="3"/>
        <v/>
      </c>
      <c r="AG21" s="43" t="str">
        <f t="shared" si="3"/>
        <v/>
      </c>
      <c r="AH21" s="43" t="str">
        <f t="shared" si="3"/>
        <v/>
      </c>
      <c r="AI21" s="43" t="str">
        <f t="shared" si="3"/>
        <v/>
      </c>
      <c r="AJ21" s="43" t="str">
        <f t="shared" si="3"/>
        <v/>
      </c>
      <c r="AK21" s="43" t="str">
        <f t="shared" si="3"/>
        <v/>
      </c>
      <c r="AL21" s="43" t="str">
        <f t="shared" si="4"/>
        <v/>
      </c>
      <c r="AM21" s="43" t="str">
        <f t="shared" si="4"/>
        <v/>
      </c>
      <c r="AN21" s="43" t="str">
        <f t="shared" si="4"/>
        <v/>
      </c>
      <c r="AO21" s="43" t="str">
        <f t="shared" si="4"/>
        <v/>
      </c>
      <c r="AP21" s="43" t="str">
        <f t="shared" si="4"/>
        <v/>
      </c>
      <c r="AQ21" s="43" t="str">
        <f t="shared" si="4"/>
        <v/>
      </c>
      <c r="AR21" s="43" t="str">
        <f t="shared" si="4"/>
        <v/>
      </c>
      <c r="AS21" s="43" t="str">
        <f t="shared" si="4"/>
        <v/>
      </c>
      <c r="AT21" s="43" t="str">
        <f t="shared" si="4"/>
        <v/>
      </c>
      <c r="AU21" s="43" t="str">
        <f t="shared" si="4"/>
        <v/>
      </c>
      <c r="AV21" s="43" t="str">
        <f t="shared" si="5"/>
        <v/>
      </c>
      <c r="AW21" s="43" t="str">
        <f t="shared" si="5"/>
        <v/>
      </c>
      <c r="AX21" s="43" t="str">
        <f t="shared" si="5"/>
        <v/>
      </c>
      <c r="AY21" s="43" t="str">
        <f t="shared" si="5"/>
        <v/>
      </c>
      <c r="AZ21" s="43" t="str">
        <f t="shared" si="5"/>
        <v/>
      </c>
      <c r="BA21" s="43" t="str">
        <f t="shared" si="5"/>
        <v/>
      </c>
      <c r="BB21" s="43" t="str">
        <f t="shared" si="5"/>
        <v/>
      </c>
      <c r="BC21" s="43" t="str">
        <f t="shared" si="5"/>
        <v/>
      </c>
      <c r="BD21" s="43" t="str">
        <f t="shared" si="5"/>
        <v/>
      </c>
      <c r="BE21" s="43" t="str">
        <f t="shared" si="5"/>
        <v/>
      </c>
      <c r="BF21" s="43" t="str">
        <f t="shared" si="5"/>
        <v/>
      </c>
      <c r="BG21" s="43" t="str">
        <f t="shared" si="5"/>
        <v/>
      </c>
    </row>
    <row r="22" spans="2:59" ht="20" customHeight="1" x14ac:dyDescent="0.35">
      <c r="B22" s="88" t="s">
        <v>265</v>
      </c>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row>
    <row r="24" spans="2:59" x14ac:dyDescent="0.35">
      <c r="B24" s="69" t="s">
        <v>58</v>
      </c>
      <c r="C24" s="49"/>
      <c r="D24" s="49"/>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row>
  </sheetData>
  <mergeCells count="9">
    <mergeCell ref="B3:BG3"/>
    <mergeCell ref="B2:BG2"/>
    <mergeCell ref="B7:G7"/>
    <mergeCell ref="B24:BG24"/>
    <mergeCell ref="B6:C6"/>
    <mergeCell ref="B22:BG22"/>
    <mergeCell ref="H6:L6"/>
    <mergeCell ref="D6:F6"/>
    <mergeCell ref="B8:G8"/>
  </mergeCells>
  <conditionalFormatting sqref="F10:F21">
    <cfRule type="expression" dxfId="6" priority="7">
      <formula>AND(E10&lt;&gt;"",F10&lt;&gt;"",F10&lt;E10)</formula>
    </cfRule>
  </conditionalFormatting>
  <conditionalFormatting sqref="H7:BG8">
    <cfRule type="expression" dxfId="5" priority="1">
      <formula>AND($D$6&lt;&gt;"",MOD(MONTH($D$6+(H$9-1)*7),2)=0)</formula>
    </cfRule>
    <cfRule type="expression" dxfId="4" priority="2">
      <formula>$D$6&lt;&gt;""</formula>
    </cfRule>
  </conditionalFormatting>
  <conditionalFormatting sqref="H9:BG9">
    <cfRule type="expression" dxfId="3" priority="6">
      <formula>AND($H$6&lt;&gt;"",H$9=$H$6)</formula>
    </cfRule>
  </conditionalFormatting>
  <conditionalFormatting sqref="H10:BG21">
    <cfRule type="expression" dxfId="2" priority="3" stopIfTrue="1">
      <formula>H10=1</formula>
    </cfRule>
    <cfRule type="expression" dxfId="1" priority="4" stopIfTrue="1">
      <formula>AND($H$6&lt;&gt;"",H$9=$H$6)</formula>
    </cfRule>
    <cfRule type="expression" dxfId="0" priority="5">
      <formula>AND($D$6&lt;&gt;"",MOD(MONTH($D$6+(H$9-1)*7),2)=0)</formula>
    </cfRule>
  </conditionalFormatting>
  <dataValidations count="1">
    <dataValidation type="whole" allowBlank="1" showErrorMessage="1" errorTitle="Invalid entry" error="Enter a week number from 1 to 52." sqref="E10:F21" xr:uid="{00000000-0002-0000-0700-000000000000}">
      <formula1>1</formula1>
      <formula2>52</formula2>
    </dataValidation>
  </dataValidations>
  <hyperlinks>
    <hyperlink ref="B24" r:id="rId1" xr:uid="{00000000-0004-0000-0700-000000000000}"/>
  </hyperlinks>
  <printOptions horizontalCentered="1"/>
  <pageMargins left="0.4" right="0.4" top="0.5" bottom="0.5"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01_START_HERE</vt:lpstr>
      <vt:lpstr>02_PROJECT_INPUT</vt:lpstr>
      <vt:lpstr>03_HEALTH_CHECK</vt:lpstr>
      <vt:lpstr>04_RAID_LITE</vt:lpstr>
      <vt:lpstr>05_MILESTONES</vt:lpstr>
      <vt:lpstr>06_DASHBOARD</vt:lpstr>
      <vt:lpstr>07_WEEKLY_SNAPSHOT</vt:lpstr>
      <vt:lpstr>08_GANTT</vt:lpstr>
      <vt:lpstr>'01_START_HERE'!Print_Area</vt:lpstr>
      <vt:lpstr>'02_PROJECT_INPUT'!Print_Area</vt:lpstr>
      <vt:lpstr>'03_HEALTH_CHECK'!Print_Area</vt:lpstr>
      <vt:lpstr>'04_RAID_LITE'!Print_Area</vt:lpstr>
      <vt:lpstr>'05_MILESTONES'!Print_Area</vt:lpstr>
      <vt:lpstr>'06_DASHBOARD'!Print_Area</vt:lpstr>
      <vt:lpstr>'07_WEEKLY_SNAPSHOT'!Print_Area</vt:lpstr>
      <vt:lpstr>'08_GANTT'!Print_Area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Project Health Command Center</dc:title>
  <dc:creator>edgeVelocity Labs</dc:creator>
  <cp:lastModifiedBy>Pankaj Nalavade</cp:lastModifiedBy>
  <dcterms:created xsi:type="dcterms:W3CDTF">2026-09-30T14:22:51Z</dcterms:created>
  <dcterms:modified xsi:type="dcterms:W3CDTF">2026-10-01T00:33:56Z</dcterms:modified>
</cp:coreProperties>
</file>